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221" windowWidth="12165" windowHeight="12180" tabRatio="625" activeTab="0"/>
  </bookViews>
  <sheets>
    <sheet name="收入" sheetId="1" r:id="rId1"/>
    <sheet name="收入-分月" sheetId="2" r:id="rId2"/>
    <sheet name="税收分行业" sheetId="3" r:id="rId3"/>
    <sheet name="支出" sheetId="4" r:id="rId4"/>
    <sheet name="支出结构 (2)" sheetId="5" r:id="rId5"/>
    <sheet name="基金收入" sheetId="6" r:id="rId6"/>
    <sheet name="基金支出" sheetId="7" r:id="rId7"/>
    <sheet name="社保基金" sheetId="8" r:id="rId8"/>
  </sheets>
  <definedNames>
    <definedName name="_xlnm._FilterDatabase" localSheetId="3" hidden="1">'支出'!$A$3:$J$145</definedName>
    <definedName name="_xlnm._FilterDatabase" localSheetId="4" hidden="1">'支出结构 (2)'!$A$4:$J$120</definedName>
    <definedName name="_xlnm.Print_Titles" localSheetId="0">'收入'!$1:$3</definedName>
    <definedName name="_xlnm.Print_Titles" localSheetId="1">'收入-分月'!$1:$3</definedName>
    <definedName name="_xlnm.Print_Titles" localSheetId="3">'支出'!$1:$3</definedName>
    <definedName name="_xlnm.Print_Titles" localSheetId="4">'支出结构 (2)'!$1:$4</definedName>
  </definedNames>
  <calcPr fullCalcOnLoad="1"/>
</workbook>
</file>

<file path=xl/comments1.xml><?xml version="1.0" encoding="utf-8"?>
<comments xmlns="http://schemas.openxmlformats.org/spreadsheetml/2006/main">
  <authors>
    <author>ysg</author>
  </authors>
  <commentList>
    <comment ref="B50" authorId="0">
      <text>
        <r>
          <rPr>
            <b/>
            <sz val="9"/>
            <rFont val="宋体"/>
            <family val="0"/>
          </rPr>
          <t>ysg:</t>
        </r>
        <r>
          <rPr>
            <sz val="9"/>
            <rFont val="宋体"/>
            <family val="0"/>
          </rPr>
          <t xml:space="preserve">
增加了460万元其他收入
</t>
        </r>
      </text>
    </comment>
  </commentList>
</comments>
</file>

<file path=xl/sharedStrings.xml><?xml version="1.0" encoding="utf-8"?>
<sst xmlns="http://schemas.openxmlformats.org/spreadsheetml/2006/main" count="581" uniqueCount="369">
  <si>
    <t>单位：万元</t>
  </si>
  <si>
    <t>上半年完成</t>
  </si>
  <si>
    <t xml:space="preserve">  采矿业</t>
  </si>
  <si>
    <t xml:space="preserve">  批发和零售业</t>
  </si>
  <si>
    <t xml:space="preserve">  交通运输、仓储、邮政业</t>
  </si>
  <si>
    <t xml:space="preserve">  信息技术服务业</t>
  </si>
  <si>
    <t xml:space="preserve">  金融业</t>
  </si>
  <si>
    <t xml:space="preserve">  房地产业</t>
  </si>
  <si>
    <t xml:space="preserve">  租赁和商务服务业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</si>
  <si>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</si>
  <si>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</si>
  <si>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</si>
  <si>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</si>
  <si>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 xml:space="preserve">  其他行业</t>
  </si>
  <si>
    <t xml:space="preserve">  科学研究和技术服务业</t>
  </si>
  <si>
    <t xml:space="preserve">  住宿和餐饮业</t>
  </si>
  <si>
    <t xml:space="preserve">  制造业</t>
  </si>
  <si>
    <t xml:space="preserve">  电力、热力、水生的生产供应</t>
  </si>
  <si>
    <t xml:space="preserve">  建筑业</t>
  </si>
  <si>
    <t xml:space="preserve">  居民服务、修理和其他服务业</t>
  </si>
  <si>
    <t>税收收入合计</t>
  </si>
  <si>
    <t xml:space="preserve">    其中：煤炭开采和洗选业</t>
  </si>
  <si>
    <t>说明：国税局未剔除退税部分，不含中央收入车辆购置税。地税局不包含非税收入。</t>
  </si>
  <si>
    <t>备注</t>
  </si>
  <si>
    <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支持中小企业发展和管理支出</t>
    </r>
  </si>
  <si>
    <t>其中</t>
  </si>
  <si>
    <t>总收入与月平均进度比较</t>
  </si>
  <si>
    <t>项        目</t>
  </si>
  <si>
    <t>城乡居民基本养老保险基金</t>
  </si>
  <si>
    <t>城镇职工基本医疗保险基金</t>
  </si>
  <si>
    <t>失业保险基金</t>
  </si>
  <si>
    <t>生育保险基金</t>
  </si>
  <si>
    <t>人员工资社保福利</t>
  </si>
  <si>
    <t>上半年完成</t>
  </si>
  <si>
    <t>合计</t>
  </si>
  <si>
    <t>社会保障类支出</t>
  </si>
  <si>
    <t>公用经费</t>
  </si>
  <si>
    <t>动支预备费</t>
  </si>
  <si>
    <t>非税收入安排</t>
  </si>
  <si>
    <t>本级其他</t>
  </si>
  <si>
    <t xml:space="preserve">    自然灾害生活救助</t>
  </si>
  <si>
    <t>上级指标</t>
  </si>
  <si>
    <t>一、税收收入</t>
  </si>
  <si>
    <t>13、耕地占用税</t>
  </si>
  <si>
    <t>14、契税</t>
  </si>
  <si>
    <t>二、非税收入</t>
  </si>
  <si>
    <t>项目</t>
  </si>
  <si>
    <t>4、企业所得税28%</t>
  </si>
  <si>
    <t xml:space="preserve">     国税</t>
  </si>
  <si>
    <t xml:space="preserve">     地税</t>
  </si>
  <si>
    <t>5、个人所得税28%</t>
  </si>
  <si>
    <t>6、资源税75%</t>
  </si>
  <si>
    <t>7、城市维护建设税</t>
  </si>
  <si>
    <t>8、房产税</t>
  </si>
  <si>
    <t>9、印花税</t>
  </si>
  <si>
    <t>10、城镇土地使用税70%</t>
  </si>
  <si>
    <t>11、土地增值税</t>
  </si>
  <si>
    <t>12、车船税</t>
  </si>
  <si>
    <t>15、烟叶税</t>
  </si>
  <si>
    <t>16、专项收入</t>
  </si>
  <si>
    <t xml:space="preserve">     其他水资源</t>
  </si>
  <si>
    <t xml:space="preserve">     采矿权价款</t>
  </si>
  <si>
    <t>17、行政事业性收费收入</t>
  </si>
  <si>
    <t>18、罚没收入</t>
  </si>
  <si>
    <t>三、市本级收入小计</t>
  </si>
  <si>
    <t>四、上划中央收入小计</t>
  </si>
  <si>
    <t xml:space="preserve">      消费税100%</t>
  </si>
  <si>
    <t xml:space="preserve">      企业所得税60%</t>
  </si>
  <si>
    <t xml:space="preserve">      个人所得税60%</t>
  </si>
  <si>
    <t>五、上划省级收入小计</t>
  </si>
  <si>
    <t xml:space="preserve">     企业所得税12%</t>
  </si>
  <si>
    <t xml:space="preserve">     个人所得税12%</t>
  </si>
  <si>
    <t xml:space="preserve">     资源税25%</t>
  </si>
  <si>
    <t xml:space="preserve">     城镇土地使用税30%</t>
  </si>
  <si>
    <t>六、财政总收入合计</t>
  </si>
  <si>
    <t xml:space="preserve">  其中： 税收收入</t>
  </si>
  <si>
    <t xml:space="preserve">     税收收入比重%</t>
  </si>
  <si>
    <t>国税局</t>
  </si>
  <si>
    <t>地税局</t>
  </si>
  <si>
    <t>财政局</t>
  </si>
  <si>
    <t>1月份</t>
  </si>
  <si>
    <t>2月份</t>
  </si>
  <si>
    <t>3月份</t>
  </si>
  <si>
    <t>4月份</t>
  </si>
  <si>
    <t>5月份</t>
  </si>
  <si>
    <t>6月份</t>
  </si>
  <si>
    <t>单位：万元</t>
  </si>
  <si>
    <t xml:space="preserve">     利息收入</t>
  </si>
  <si>
    <t xml:space="preserve">     其他国有资源(资产)有偿使用收入</t>
  </si>
  <si>
    <t>年初预算</t>
  </si>
  <si>
    <t>合计</t>
  </si>
  <si>
    <t>上半年累计</t>
  </si>
  <si>
    <t>占预算%</t>
  </si>
  <si>
    <t>上年同期</t>
  </si>
  <si>
    <t>比上年增减</t>
  </si>
  <si>
    <t>增减%</t>
  </si>
  <si>
    <t>科目名称</t>
  </si>
  <si>
    <t>合计</t>
  </si>
  <si>
    <t>资源枯竭</t>
  </si>
  <si>
    <t>支出合计</t>
  </si>
  <si>
    <t>一、一般公共服务支出</t>
  </si>
  <si>
    <t xml:space="preserve">    人大事务    </t>
  </si>
  <si>
    <t xml:space="preserve">    政协事务    </t>
  </si>
  <si>
    <t xml:space="preserve">    政府办公厅（室）及相关机构事务    </t>
  </si>
  <si>
    <t xml:space="preserve">    发展与改革事务    </t>
  </si>
  <si>
    <t xml:space="preserve">    统计信息事务    </t>
  </si>
  <si>
    <t xml:space="preserve">    财政事务    </t>
  </si>
  <si>
    <t xml:space="preserve">    审计事务    </t>
  </si>
  <si>
    <t xml:space="preserve">    人力资源事务    </t>
  </si>
  <si>
    <t xml:space="preserve">    纪检监察事务    </t>
  </si>
  <si>
    <t xml:space="preserve">    商贸事务    </t>
  </si>
  <si>
    <t xml:space="preserve">    知识产权事务    </t>
  </si>
  <si>
    <t xml:space="preserve">    工商行政管理事务    </t>
  </si>
  <si>
    <t xml:space="preserve">    宗教事务    </t>
  </si>
  <si>
    <t xml:space="preserve">    港澳台侨事务    </t>
  </si>
  <si>
    <t xml:space="preserve">    档案事务    </t>
  </si>
  <si>
    <t xml:space="preserve">    民主党派及工商联事务    </t>
  </si>
  <si>
    <t xml:space="preserve">    群众团体事务    </t>
  </si>
  <si>
    <t xml:space="preserve">    党委办公厅（室）及相关机构事务    </t>
  </si>
  <si>
    <t xml:space="preserve">    组织事务    </t>
  </si>
  <si>
    <t xml:space="preserve">    宣传事务    </t>
  </si>
  <si>
    <t xml:space="preserve">    统战事务    </t>
  </si>
  <si>
    <t xml:space="preserve">    其他一般公共服务支出    </t>
  </si>
  <si>
    <t>二、国防支出</t>
  </si>
  <si>
    <t xml:space="preserve">    国防动员    </t>
  </si>
  <si>
    <t xml:space="preserve">    其他国防支出    </t>
  </si>
  <si>
    <t>三、公共安全支出</t>
  </si>
  <si>
    <t xml:space="preserve">    武装警察    </t>
  </si>
  <si>
    <t xml:space="preserve">    公安    </t>
  </si>
  <si>
    <t xml:space="preserve">    检察    </t>
  </si>
  <si>
    <t xml:space="preserve">    法院    </t>
  </si>
  <si>
    <t xml:space="preserve">    司法    </t>
  </si>
  <si>
    <t>四、教育支出</t>
  </si>
  <si>
    <t xml:space="preserve">    教育管理事务    </t>
  </si>
  <si>
    <t xml:space="preserve">    普通教育    </t>
  </si>
  <si>
    <t xml:space="preserve">    职业教育    </t>
  </si>
  <si>
    <t xml:space="preserve">    特殊教育    </t>
  </si>
  <si>
    <t xml:space="preserve">    进修及培训    </t>
  </si>
  <si>
    <t xml:space="preserve">    教育费附加安排的支出    </t>
  </si>
  <si>
    <t xml:space="preserve">    其他教育支出    </t>
  </si>
  <si>
    <t>五、科学技术支出</t>
  </si>
  <si>
    <t xml:space="preserve">    科学技术管理事务    </t>
  </si>
  <si>
    <t xml:space="preserve">    技术研究与开发    </t>
  </si>
  <si>
    <t xml:space="preserve">    科学技术普及    </t>
  </si>
  <si>
    <t xml:space="preserve">    其他科学技术支出    </t>
  </si>
  <si>
    <t>六、文化体育与传媒支出</t>
  </si>
  <si>
    <t xml:space="preserve">    文化    </t>
  </si>
  <si>
    <t xml:space="preserve">    文物    </t>
  </si>
  <si>
    <t xml:space="preserve">    体育    </t>
  </si>
  <si>
    <t xml:space="preserve">    广播影视    </t>
  </si>
  <si>
    <t xml:space="preserve">    其他文化体育与传媒支出    </t>
  </si>
  <si>
    <t>七、社会保障和就业支出</t>
  </si>
  <si>
    <t xml:space="preserve">    人力资源和社会保障管理事务    </t>
  </si>
  <si>
    <t xml:space="preserve">    民政管理事务    </t>
  </si>
  <si>
    <t xml:space="preserve">    财政对社会保险基金的补助    </t>
  </si>
  <si>
    <t xml:space="preserve">    行政事业单位离退休    </t>
  </si>
  <si>
    <t xml:space="preserve">    企业改革补助    </t>
  </si>
  <si>
    <t xml:space="preserve">    就业补助    </t>
  </si>
  <si>
    <t xml:space="preserve">    抚恤    </t>
  </si>
  <si>
    <t xml:space="preserve">    退役安置    </t>
  </si>
  <si>
    <t xml:space="preserve">    社会福利    </t>
  </si>
  <si>
    <t xml:space="preserve">    残疾人事业    </t>
  </si>
  <si>
    <t xml:space="preserve">    红十字事业    </t>
  </si>
  <si>
    <t xml:space="preserve">    最低生活保障    </t>
  </si>
  <si>
    <t xml:space="preserve">    临时救助    </t>
  </si>
  <si>
    <t xml:space="preserve">    特困人员供养    </t>
  </si>
  <si>
    <t xml:space="preserve">    其他生活救助    </t>
  </si>
  <si>
    <t xml:space="preserve">    其他社会保障和就业支出    </t>
  </si>
  <si>
    <t>八、医疗卫生与计划生育支出</t>
  </si>
  <si>
    <t xml:space="preserve">    医疗卫生管理事务    </t>
  </si>
  <si>
    <t xml:space="preserve">    公立医院    </t>
  </si>
  <si>
    <t xml:space="preserve">    基层医疗卫生机构    </t>
  </si>
  <si>
    <t xml:space="preserve">    公共卫生    </t>
  </si>
  <si>
    <t xml:space="preserve">    医疗保障    </t>
  </si>
  <si>
    <t xml:space="preserve">    计划生育事务    </t>
  </si>
  <si>
    <t xml:space="preserve">    食品和药品监督管理事务    </t>
  </si>
  <si>
    <t xml:space="preserve">    其他医疗卫生支出与计划生育支出    </t>
  </si>
  <si>
    <t>九、节能环保支出</t>
  </si>
  <si>
    <t xml:space="preserve">    环境保护管理事务    </t>
  </si>
  <si>
    <t xml:space="preserve">    污染防治    </t>
  </si>
  <si>
    <t xml:space="preserve">    自然生态保护    </t>
  </si>
  <si>
    <t xml:space="preserve">    退耕还林    </t>
  </si>
  <si>
    <t xml:space="preserve">    能源节约利用    </t>
  </si>
  <si>
    <t xml:space="preserve">    污染减排    </t>
  </si>
  <si>
    <t>十、城乡社区支出</t>
  </si>
  <si>
    <t xml:space="preserve">    城乡社区管理事务    </t>
  </si>
  <si>
    <t xml:space="preserve">    城乡社区规划与管理    </t>
  </si>
  <si>
    <t xml:space="preserve">    城乡社区公共设施    </t>
  </si>
  <si>
    <t xml:space="preserve">    城乡社区环境卫生    </t>
  </si>
  <si>
    <t xml:space="preserve">    其他城乡社区支出    </t>
  </si>
  <si>
    <t>十一、农林水支出</t>
  </si>
  <si>
    <t xml:space="preserve">    农业    </t>
  </si>
  <si>
    <t xml:space="preserve">    林业    </t>
  </si>
  <si>
    <t xml:space="preserve">    水利    </t>
  </si>
  <si>
    <t xml:space="preserve">    扶贫    </t>
  </si>
  <si>
    <t xml:space="preserve">    农业综合开发    </t>
  </si>
  <si>
    <t xml:space="preserve">    农村综合改革    </t>
  </si>
  <si>
    <t xml:space="preserve">    其他农林水支出    </t>
  </si>
  <si>
    <t>十二、交通运输支出</t>
  </si>
  <si>
    <t xml:space="preserve">    公路水路运输    </t>
  </si>
  <si>
    <t>十三、资源勘探信息等支出</t>
  </si>
  <si>
    <t xml:space="preserve">    资源勘探开发    </t>
  </si>
  <si>
    <t xml:space="preserve">    制造业    </t>
  </si>
  <si>
    <t xml:space="preserve">    工业和信息产业监管    </t>
  </si>
  <si>
    <t xml:space="preserve">    安全生产监管    </t>
  </si>
  <si>
    <t xml:space="preserve">    其他资源勘探电力信息等支出    </t>
  </si>
  <si>
    <t>十四、商业服务业等支出</t>
  </si>
  <si>
    <t xml:space="preserve">    商业流通事务    </t>
  </si>
  <si>
    <t xml:space="preserve">    旅游业管理与服务支出    </t>
  </si>
  <si>
    <t>十五、金融支出</t>
  </si>
  <si>
    <t xml:space="preserve">    金融发展支出    </t>
  </si>
  <si>
    <t>十六、国土海洋气象等支出</t>
  </si>
  <si>
    <t xml:space="preserve">    国土资源事务    </t>
  </si>
  <si>
    <t xml:space="preserve">    地震事务    </t>
  </si>
  <si>
    <t>十七、住房保障支出</t>
  </si>
  <si>
    <t xml:space="preserve">    保障性安居工程支出    </t>
  </si>
  <si>
    <t xml:space="preserve">    住房改革支出    </t>
  </si>
  <si>
    <t xml:space="preserve">    城乡社区住宅    </t>
  </si>
  <si>
    <t>十八、粮油物资储备支出</t>
  </si>
  <si>
    <t xml:space="preserve">    粮油事务    </t>
  </si>
  <si>
    <t xml:space="preserve">    物资事务    </t>
  </si>
  <si>
    <t xml:space="preserve">    粮油储备    </t>
  </si>
  <si>
    <t>十九、预备费</t>
  </si>
  <si>
    <t>第一产业</t>
  </si>
  <si>
    <t>第二产业</t>
  </si>
  <si>
    <t>第三产业</t>
  </si>
  <si>
    <t>国税局</t>
  </si>
  <si>
    <t>地税局</t>
  </si>
  <si>
    <t>年初预算</t>
  </si>
  <si>
    <t>占预算%</t>
  </si>
  <si>
    <t>上年同期</t>
  </si>
  <si>
    <t>比上年增减</t>
  </si>
  <si>
    <t xml:space="preserve">    车辆购置税支出</t>
  </si>
  <si>
    <t>二十、国债还本付息支出</t>
  </si>
  <si>
    <t xml:space="preserve">   地方政府债券付息 </t>
  </si>
  <si>
    <t>二十一、其他支出</t>
  </si>
  <si>
    <t xml:space="preserve">    年初预留 </t>
  </si>
  <si>
    <t xml:space="preserve">    其他支出</t>
  </si>
  <si>
    <t>增减%</t>
  </si>
  <si>
    <t>收入</t>
  </si>
  <si>
    <t xml:space="preserve">   农业土地开发资金收入（计提）</t>
  </si>
  <si>
    <t xml:space="preserve">   保障性住房资金收入（计提）</t>
  </si>
  <si>
    <t xml:space="preserve">   其他国有土地出让收入</t>
  </si>
  <si>
    <t>年初预算</t>
  </si>
  <si>
    <t>合计</t>
  </si>
  <si>
    <t>上半年完成</t>
  </si>
  <si>
    <t>公共租赁住房租金收入</t>
  </si>
  <si>
    <t>占预算%</t>
  </si>
  <si>
    <t>上年同期</t>
  </si>
  <si>
    <t>比上年增减</t>
  </si>
  <si>
    <t>增减%</t>
  </si>
  <si>
    <t>备注</t>
  </si>
  <si>
    <t>单位：万元</t>
  </si>
  <si>
    <t>支出</t>
  </si>
  <si>
    <t xml:space="preserve">   大中型水库移民后期扶持基金支出</t>
  </si>
  <si>
    <t xml:space="preserve">   农业土地开发资金支出</t>
  </si>
  <si>
    <t xml:space="preserve">   新增建设用地土地有偿使用费安排的支出</t>
  </si>
  <si>
    <t xml:space="preserve">   散装水泥专项资金支出</t>
  </si>
  <si>
    <t xml:space="preserve">   新型墙体材料专项基金支出</t>
  </si>
  <si>
    <t xml:space="preserve">   其他政府性基金支出</t>
  </si>
  <si>
    <t>年初预算</t>
  </si>
  <si>
    <t>占预算%</t>
  </si>
  <si>
    <t>上年同期</t>
  </si>
  <si>
    <t>比上年增减</t>
  </si>
  <si>
    <t>增减%</t>
  </si>
  <si>
    <r>
      <t>耒阳市201</t>
    </r>
    <r>
      <rPr>
        <sz val="20"/>
        <color indexed="8"/>
        <rFont val="宋体"/>
        <family val="0"/>
      </rPr>
      <t>6</t>
    </r>
    <r>
      <rPr>
        <sz val="20"/>
        <color indexed="8"/>
        <rFont val="宋体"/>
        <family val="0"/>
      </rPr>
      <t>年上半年公共财政收入完成情况（表一）</t>
    </r>
  </si>
  <si>
    <t xml:space="preserve">     排污费收入</t>
  </si>
  <si>
    <t xml:space="preserve">     残疾人就业保障金收入</t>
  </si>
  <si>
    <t xml:space="preserve">     育林基金收入</t>
  </si>
  <si>
    <t xml:space="preserve">     森林植被恢复费</t>
  </si>
  <si>
    <t xml:space="preserve">     水利建设专项收入</t>
  </si>
  <si>
    <t xml:space="preserve">     教育资金收入</t>
  </si>
  <si>
    <t xml:space="preserve">     农田水利建设资金收入</t>
  </si>
  <si>
    <t xml:space="preserve">     其他专项收入</t>
  </si>
  <si>
    <t xml:space="preserve">     教育费附加收入-地</t>
  </si>
  <si>
    <t xml:space="preserve">     地方教育附加收入-地</t>
  </si>
  <si>
    <t xml:space="preserve">     残疾人就业保障金收入-地</t>
  </si>
  <si>
    <t>19、国有资本经营收入</t>
  </si>
  <si>
    <t xml:space="preserve">    利润收入</t>
  </si>
  <si>
    <t xml:space="preserve">    股利、股息收入</t>
  </si>
  <si>
    <t>20、国有资源（资产）有偿使用收入</t>
  </si>
  <si>
    <t>22、其他收入</t>
  </si>
  <si>
    <t>21、公共租赁住房租金收入</t>
  </si>
  <si>
    <t xml:space="preserve">     探矿权、采矿权价款收入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</si>
  <si>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、国有资源（资产）有偿使用收入</t>
    </r>
  </si>
  <si>
    <r>
      <t xml:space="preserve"> </t>
    </r>
    <r>
      <rPr>
        <sz val="10"/>
        <rFont val="宋体"/>
        <family val="0"/>
      </rPr>
      <t xml:space="preserve">     营业税50%</t>
    </r>
  </si>
  <si>
    <r>
      <t>耒阳市201</t>
    </r>
    <r>
      <rPr>
        <b/>
        <sz val="20"/>
        <color indexed="8"/>
        <rFont val="宋体"/>
        <family val="0"/>
      </rPr>
      <t>6</t>
    </r>
    <r>
      <rPr>
        <b/>
        <sz val="20"/>
        <color indexed="8"/>
        <rFont val="宋体"/>
        <family val="0"/>
      </rPr>
      <t>年上半年公共财政收入完成情况（表二）</t>
    </r>
  </si>
  <si>
    <t>耒阳市2016年上半年税收收入分行业情况表（表三）</t>
  </si>
  <si>
    <r>
      <t>201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年</t>
    </r>
  </si>
  <si>
    <r>
      <t>201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年</t>
    </r>
  </si>
  <si>
    <t xml:space="preserve">  水利、环境和公共设施管理业</t>
  </si>
  <si>
    <t>耒阳市2016年上半年公共财政预算支出情况表（表四）</t>
  </si>
  <si>
    <r>
      <t xml:space="preserve"> </t>
    </r>
    <r>
      <rPr>
        <sz val="10"/>
        <color indexed="8"/>
        <rFont val="宋体"/>
        <family val="0"/>
      </rPr>
      <t xml:space="preserve">   其他商业服务业等支出   </t>
    </r>
  </si>
  <si>
    <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金融部门行政支出  </t>
    </r>
  </si>
  <si>
    <t xml:space="preserve">      其中：工资及公改预留</t>
  </si>
  <si>
    <t xml:space="preserve">       非税收入安排支出预留</t>
  </si>
  <si>
    <t xml:space="preserve">       涉改及向上争资预留</t>
  </si>
  <si>
    <t xml:space="preserve">    惠普金融发展支出    </t>
  </si>
  <si>
    <r>
      <t>耒阳市201</t>
    </r>
    <r>
      <rPr>
        <sz val="20"/>
        <color indexed="8"/>
        <rFont val="宋体"/>
        <family val="0"/>
      </rPr>
      <t>6</t>
    </r>
    <r>
      <rPr>
        <sz val="20"/>
        <color indexed="8"/>
        <rFont val="宋体"/>
        <family val="0"/>
      </rPr>
      <t>年上半年政府性基金收入完成情况（表六）</t>
    </r>
  </si>
  <si>
    <t>一、政府住房基金收入</t>
  </si>
  <si>
    <t>备注：政府住房基金收入已调至公共预算。</t>
  </si>
  <si>
    <t>二、国有土地使用权出让收入</t>
  </si>
  <si>
    <t>三、城市公用事业附加收入</t>
  </si>
  <si>
    <t>四、国有土地收益金收入</t>
  </si>
  <si>
    <t>五、城市基础设施配套费收入</t>
  </si>
  <si>
    <t>六、新型墙体材料专项基金收入</t>
  </si>
  <si>
    <t>七、其他政府性基金收入</t>
  </si>
  <si>
    <t>上年结转</t>
  </si>
  <si>
    <t xml:space="preserve">   国有土地使用权出让收入及对应专项债务安排的支出</t>
  </si>
  <si>
    <t xml:space="preserve">   城市公用事业附加安排级对应专项债务收入安排的支出</t>
  </si>
  <si>
    <t xml:space="preserve">   国有土地收益基金及对应专项债务收入安排的支出</t>
  </si>
  <si>
    <t xml:space="preserve">   城市基础设施配套费及对应专项债务收入安排的支出</t>
  </si>
  <si>
    <t xml:space="preserve">   彩票发行销售机构业务费安排的支出</t>
  </si>
  <si>
    <t xml:space="preserve">   小型水库移民扶助基金及对应专项债务安排的支出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</si>
  <si>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</si>
  <si>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</si>
  <si>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彩票公益金及对应专项债务收入安排的支出</t>
  </si>
  <si>
    <t xml:space="preserve">    水土保持补偿费安排的支出</t>
  </si>
  <si>
    <t xml:space="preserve">     其中：水利建设专项收入-地</t>
  </si>
  <si>
    <r>
      <t xml:space="preserve"> </t>
    </r>
    <r>
      <rPr>
        <sz val="10"/>
        <color indexed="8"/>
        <rFont val="宋体"/>
        <family val="0"/>
      </rPr>
      <t xml:space="preserve">   涉外发展服务支出</t>
    </r>
  </si>
  <si>
    <t>耒阳市2016年上半年社会保险基金收入完成情况（表八）</t>
  </si>
  <si>
    <t>单位：万元</t>
  </si>
  <si>
    <t>机关事业单位基本养老保险金</t>
  </si>
  <si>
    <t>居民基本医疗保险和新型农村合医疗保险基金</t>
  </si>
  <si>
    <t>一、年初预算</t>
  </si>
  <si>
    <t xml:space="preserve"> 其中：1、保险费收入</t>
  </si>
  <si>
    <t xml:space="preserve">      2、 投资收益</t>
  </si>
  <si>
    <t xml:space="preserve">      3、财政补贴收入</t>
  </si>
  <si>
    <t xml:space="preserve">      4、转移收入</t>
  </si>
  <si>
    <t>二、上半年完成数</t>
  </si>
  <si>
    <t>三、占年初预算%</t>
  </si>
  <si>
    <t>四、上年同期数</t>
  </si>
  <si>
    <t>五、比上年增减</t>
  </si>
  <si>
    <t>六、增减%</t>
  </si>
  <si>
    <t>耒阳市2016年上半年社会保险基金支出完成情况（表九）</t>
  </si>
  <si>
    <t>一、年初支出预算</t>
  </si>
  <si>
    <t xml:space="preserve"> 其中：1、社会保险待遇支出</t>
  </si>
  <si>
    <t xml:space="preserve">       2、其他支出</t>
  </si>
  <si>
    <t xml:space="preserve">       3、转移支出</t>
  </si>
  <si>
    <t xml:space="preserve"> 其中：社会保险待遇支出</t>
  </si>
  <si>
    <r>
      <t>耒阳市201</t>
    </r>
    <r>
      <rPr>
        <sz val="20"/>
        <color indexed="8"/>
        <rFont val="宋体"/>
        <family val="0"/>
      </rPr>
      <t>6</t>
    </r>
    <r>
      <rPr>
        <sz val="20"/>
        <color indexed="8"/>
        <rFont val="宋体"/>
        <family val="0"/>
      </rPr>
      <t>年上半年公共财政支出结构情况（表五）</t>
    </r>
  </si>
  <si>
    <t>耒阳市2016年上半年政府性基金支出完成情况（表七）</t>
  </si>
  <si>
    <t>一、社会保障和就业</t>
  </si>
  <si>
    <t>二、城乡社区支出</t>
  </si>
  <si>
    <t>三、农林水支出</t>
  </si>
  <si>
    <t>四、资源勘探电力信息等支出</t>
  </si>
  <si>
    <t>五、其他支出</t>
  </si>
  <si>
    <t xml:space="preserve">   政府住房基金及对应专项债务收入安排的支出</t>
  </si>
  <si>
    <t xml:space="preserve">    石油价格改革对交通运输的补贴</t>
  </si>
  <si>
    <t xml:space="preserve">    支持中小企业发展和管理支出</t>
  </si>
  <si>
    <t xml:space="preserve">    涉外发展服务支出</t>
  </si>
  <si>
    <t xml:space="preserve">    其他商业服务业等支出   </t>
  </si>
  <si>
    <t xml:space="preserve">    金融部门行政支出  </t>
  </si>
  <si>
    <t xml:space="preserve">    气象事务</t>
  </si>
  <si>
    <t>单位：万元</t>
  </si>
  <si>
    <r>
      <t xml:space="preserve">  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质量技术监督与检验检疫事务   </t>
    </r>
  </si>
  <si>
    <t xml:space="preserve">    质量技术监督与检验检疫事务   </t>
  </si>
  <si>
    <r>
      <t>2016年上半年第一产业税收占总量的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.01%，比上年下降0.6个百分点；第二产业税收入占总量的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3.49%，比上年下降了9个百分点。其中煤炭行业税收占总量的</t>
    </r>
    <r>
      <rPr>
        <sz val="11"/>
        <color indexed="8"/>
        <rFont val="宋体"/>
        <family val="0"/>
      </rPr>
      <t>7.</t>
    </r>
    <r>
      <rPr>
        <sz val="11"/>
        <color indexed="8"/>
        <rFont val="宋体"/>
        <family val="0"/>
      </rPr>
      <t>62%，比上年下降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个百分点。第三产业税收占总量的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6.5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%，比上年提高10个百分点。</t>
    </r>
  </si>
  <si>
    <t>1、增值税37.5%</t>
  </si>
  <si>
    <t>2、营业税改征增值税37.5%</t>
  </si>
  <si>
    <t>3、营业税37.5%</t>
  </si>
  <si>
    <t xml:space="preserve">      增值税505%</t>
  </si>
  <si>
    <t xml:space="preserve">     增值税12.5%</t>
  </si>
  <si>
    <r>
      <t xml:space="preserve">     营改增</t>
    </r>
    <r>
      <rPr>
        <sz val="10"/>
        <rFont val="宋体"/>
        <family val="0"/>
      </rPr>
      <t>12.5</t>
    </r>
    <r>
      <rPr>
        <sz val="10"/>
        <rFont val="宋体"/>
        <family val="0"/>
      </rPr>
      <t>%</t>
    </r>
  </si>
  <si>
    <t xml:space="preserve">     营业税12.5%</t>
  </si>
  <si>
    <t xml:space="preserve">      营业税50%</t>
  </si>
  <si>
    <t>备注：从6月份开始，增值税、营改增、营业税分成比例为中央50%、省级12.5%、县级37.5%。</t>
  </si>
  <si>
    <t xml:space="preserve">      增值税50%</t>
  </si>
  <si>
    <t xml:space="preserve">     营业税改征增值税12.5%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</si>
</sst>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.00_ "/>
    <numFmt numFmtId="186" formatCode="0.00_);[Red]\(0.00\)"/>
    <numFmt numFmtId="187" formatCode="0.0%"/>
    <numFmt numFmtId="188" formatCode="#,##0.0_ "/>
    <numFmt numFmtId="189" formatCode="#,##0.000_ "/>
    <numFmt numFmtId="190" formatCode="#,##0.0000_ "/>
    <numFmt numFmtId="191" formatCode="_ * #,##0_ ;_ * \-#,##0_ ;_ * &quot;-&quot;??_ ;_ @_ "/>
    <numFmt numFmtId="192" formatCode="_ * #,##0.0_ ;_ * \-#,##0.0_ ;_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_);_(* \(#,##0.00\);_(* &quot;-&quot;??_);_(@_)"/>
    <numFmt numFmtId="198" formatCode="0.0000000_ "/>
    <numFmt numFmtId="199" formatCode="0.00000000_ "/>
    <numFmt numFmtId="200" formatCode="_ * #,##0.000_ ;_ * \-#,##0.000_ ;_ * &quot;-&quot;??_ ;_ @_ "/>
    <numFmt numFmtId="201" formatCode="#,##0.0_ ;\-#,##0;;"/>
    <numFmt numFmtId="202" formatCode="#,##0.00_ ;\-#,##0.00;;"/>
    <numFmt numFmtId="203" formatCode="_(* #,##0.0_);_(* \(#,##0.0\);_(* &quot;-&quot;??_);_(@_)"/>
    <numFmt numFmtId="204" formatCode="_(* #,##0_);_(* \(#,##0\);_(* &quot;-&quot;??_);_(@_)"/>
    <numFmt numFmtId="205" formatCode="_ * #,##0.0000_ ;_ * \-#,##0.0000_ ;_ * &quot;-&quot;??_ ;_ @_ 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97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186" fontId="3" fillId="0" borderId="10" xfId="45" applyNumberFormat="1" applyFont="1" applyBorder="1" applyAlignment="1">
      <alignment horizontal="center" vertical="center" wrapText="1"/>
      <protection/>
    </xf>
    <xf numFmtId="0" fontId="4" fillId="0" borderId="11" xfId="43" applyFont="1" applyBorder="1">
      <alignment vertical="center"/>
      <protection/>
    </xf>
    <xf numFmtId="184" fontId="4" fillId="0" borderId="11" xfId="45" applyNumberFormat="1" applyFont="1" applyFill="1" applyBorder="1">
      <alignment vertical="center"/>
      <protection/>
    </xf>
    <xf numFmtId="184" fontId="3" fillId="0" borderId="11" xfId="45" applyNumberFormat="1" applyFont="1" applyFill="1" applyBorder="1">
      <alignment vertical="center"/>
      <protection/>
    </xf>
    <xf numFmtId="10" fontId="3" fillId="0" borderId="11" xfId="35" applyNumberFormat="1" applyFont="1" applyFill="1" applyBorder="1" applyAlignment="1">
      <alignment vertical="center"/>
    </xf>
    <xf numFmtId="0" fontId="3" fillId="0" borderId="11" xfId="43" applyFont="1" applyBorder="1">
      <alignment vertical="center"/>
      <protection/>
    </xf>
    <xf numFmtId="0" fontId="3" fillId="0" borderId="11" xfId="43" applyFont="1" applyFill="1" applyBorder="1">
      <alignment vertical="center"/>
      <protection/>
    </xf>
    <xf numFmtId="0" fontId="4" fillId="0" borderId="11" xfId="4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center"/>
    </xf>
    <xf numFmtId="184" fontId="3" fillId="0" borderId="11" xfId="45" applyNumberFormat="1" applyFont="1" applyFill="1" applyBorder="1">
      <alignment vertical="center"/>
      <protection/>
    </xf>
    <xf numFmtId="0" fontId="3" fillId="0" borderId="11" xfId="43" applyFont="1" applyBorder="1" applyAlignment="1">
      <alignment vertical="center" wrapText="1"/>
      <protection/>
    </xf>
    <xf numFmtId="186" fontId="3" fillId="0" borderId="11" xfId="45" applyNumberFormat="1" applyFont="1" applyFill="1" applyBorder="1" applyAlignment="1">
      <alignment horizontal="center" vertical="center" wrapText="1"/>
      <protection/>
    </xf>
    <xf numFmtId="10" fontId="8" fillId="0" borderId="11" xfId="33" applyNumberFormat="1" applyFont="1" applyBorder="1" applyAlignment="1">
      <alignment vertical="center"/>
    </xf>
    <xf numFmtId="10" fontId="5" fillId="0" borderId="11" xfId="33" applyNumberFormat="1" applyFont="1" applyBorder="1" applyAlignment="1">
      <alignment vertical="center"/>
    </xf>
    <xf numFmtId="186" fontId="3" fillId="0" borderId="11" xfId="45" applyNumberFormat="1" applyFont="1" applyFill="1" applyBorder="1" applyAlignment="1">
      <alignment horizontal="center" vertical="center" wrapText="1"/>
      <protection/>
    </xf>
    <xf numFmtId="10" fontId="5" fillId="0" borderId="11" xfId="33" applyNumberFormat="1" applyFont="1" applyBorder="1" applyAlignment="1">
      <alignment horizontal="center" vertical="center"/>
    </xf>
    <xf numFmtId="184" fontId="4" fillId="0" borderId="11" xfId="45" applyNumberFormat="1" applyFont="1" applyFill="1" applyBorder="1">
      <alignment vertical="center"/>
      <protection/>
    </xf>
    <xf numFmtId="184" fontId="0" fillId="0" borderId="0" xfId="0" applyNumberFormat="1" applyAlignment="1">
      <alignment vertical="center"/>
    </xf>
    <xf numFmtId="191" fontId="0" fillId="0" borderId="0" xfId="55" applyNumberFormat="1" applyFont="1" applyAlignment="1">
      <alignment vertical="center"/>
    </xf>
    <xf numFmtId="191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45" applyFont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center" vertical="center"/>
      <protection/>
    </xf>
    <xf numFmtId="197" fontId="6" fillId="0" borderId="0" xfId="55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45" applyFont="1" applyFill="1" applyBorder="1" applyAlignment="1">
      <alignment horizontal="center" vertical="center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center" vertical="center"/>
      <protection/>
    </xf>
    <xf numFmtId="3" fontId="3" fillId="0" borderId="11" xfId="45" applyNumberFormat="1" applyFont="1" applyFill="1" applyBorder="1" applyAlignment="1" applyProtection="1">
      <alignment vertical="center"/>
      <protection/>
    </xf>
    <xf numFmtId="184" fontId="3" fillId="0" borderId="11" xfId="45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3" fillId="0" borderId="11" xfId="45" applyFont="1" applyFill="1" applyBorder="1" applyAlignment="1">
      <alignment vertical="center"/>
      <protection/>
    </xf>
    <xf numFmtId="0" fontId="5" fillId="0" borderId="11" xfId="0" applyFont="1" applyBorder="1" applyAlignment="1">
      <alignment vertical="center" wrapText="1"/>
    </xf>
    <xf numFmtId="3" fontId="3" fillId="0" borderId="11" xfId="45" applyNumberFormat="1" applyFont="1" applyFill="1" applyBorder="1" applyAlignment="1" applyProtection="1">
      <alignment horizontal="center" vertical="center"/>
      <protection/>
    </xf>
    <xf numFmtId="10" fontId="0" fillId="0" borderId="0" xfId="33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91" fontId="5" fillId="0" borderId="11" xfId="0" applyNumberFormat="1" applyFont="1" applyBorder="1" applyAlignment="1">
      <alignment vertical="center"/>
    </xf>
    <xf numFmtId="191" fontId="5" fillId="0" borderId="11" xfId="55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3" fillId="0" borderId="11" xfId="43" applyFont="1" applyBorder="1">
      <alignment vertical="center"/>
      <protection/>
    </xf>
    <xf numFmtId="184" fontId="3" fillId="0" borderId="11" xfId="35" applyNumberFormat="1" applyFont="1" applyFill="1" applyBorder="1" applyAlignment="1">
      <alignment vertical="center"/>
    </xf>
    <xf numFmtId="0" fontId="4" fillId="0" borderId="11" xfId="43" applyFont="1" applyBorder="1">
      <alignment vertical="center"/>
      <protection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4" fontId="6" fillId="0" borderId="11" xfId="55" applyNumberFormat="1" applyFont="1" applyBorder="1" applyAlignment="1">
      <alignment vertical="center"/>
    </xf>
    <xf numFmtId="0" fontId="1" fillId="0" borderId="11" xfId="45" applyFont="1" applyBorder="1" applyAlignment="1">
      <alignment horizontal="left" vertical="center"/>
      <protection/>
    </xf>
    <xf numFmtId="184" fontId="1" fillId="0" borderId="11" xfId="45" applyNumberFormat="1" applyFont="1" applyFill="1" applyBorder="1" applyAlignment="1">
      <alignment vertical="center"/>
      <protection/>
    </xf>
    <xf numFmtId="10" fontId="1" fillId="0" borderId="11" xfId="33" applyNumberFormat="1" applyFont="1" applyFill="1" applyBorder="1" applyAlignment="1">
      <alignment vertical="center"/>
    </xf>
    <xf numFmtId="10" fontId="6" fillId="0" borderId="11" xfId="33" applyNumberFormat="1" applyFont="1" applyBorder="1" applyAlignment="1">
      <alignment vertical="center"/>
    </xf>
    <xf numFmtId="3" fontId="1" fillId="0" borderId="11" xfId="45" applyNumberFormat="1" applyFont="1" applyFill="1" applyBorder="1" applyAlignment="1" applyProtection="1">
      <alignment vertical="center"/>
      <protection/>
    </xf>
    <xf numFmtId="3" fontId="1" fillId="0" borderId="11" xfId="45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/>
    </xf>
    <xf numFmtId="3" fontId="1" fillId="0" borderId="11" xfId="45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91" fontId="0" fillId="0" borderId="0" xfId="33" applyNumberFormat="1" applyFont="1" applyAlignment="1">
      <alignment vertical="center"/>
    </xf>
    <xf numFmtId="191" fontId="5" fillId="0" borderId="11" xfId="0" applyNumberFormat="1" applyFont="1" applyFill="1" applyBorder="1" applyAlignment="1">
      <alignment vertical="center"/>
    </xf>
    <xf numFmtId="184" fontId="3" fillId="0" borderId="11" xfId="45" applyNumberFormat="1" applyFont="1" applyFill="1" applyBorder="1">
      <alignment vertical="center"/>
      <protection/>
    </xf>
    <xf numFmtId="0" fontId="3" fillId="0" borderId="11" xfId="43" applyFont="1" applyBorder="1">
      <alignment vertical="center"/>
      <protection/>
    </xf>
    <xf numFmtId="0" fontId="3" fillId="0" borderId="11" xfId="43" applyFont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43" applyFont="1" applyBorder="1">
      <alignment vertical="center"/>
      <protection/>
    </xf>
    <xf numFmtId="3" fontId="3" fillId="0" borderId="11" xfId="4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3" fontId="1" fillId="0" borderId="11" xfId="45" applyNumberFormat="1" applyFont="1" applyFill="1" applyBorder="1" applyAlignment="1" applyProtection="1">
      <alignment vertical="center"/>
      <protection/>
    </xf>
    <xf numFmtId="3" fontId="1" fillId="0" borderId="11" xfId="45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/>
    </xf>
    <xf numFmtId="0" fontId="1" fillId="0" borderId="11" xfId="45" applyFont="1" applyBorder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0" borderId="12" xfId="42" applyNumberFormat="1" applyFont="1" applyFill="1" applyBorder="1" applyAlignment="1" applyProtection="1">
      <alignment horizontal="left" vertical="center"/>
      <protection/>
    </xf>
    <xf numFmtId="184" fontId="5" fillId="0" borderId="12" xfId="42" applyNumberFormat="1" applyFont="1" applyFill="1" applyBorder="1" applyAlignment="1" applyProtection="1">
      <alignment horizontal="right" vertical="center"/>
      <protection/>
    </xf>
    <xf numFmtId="0" fontId="5" fillId="0" borderId="13" xfId="42" applyNumberFormat="1" applyFont="1" applyFill="1" applyBorder="1" applyAlignment="1" applyProtection="1">
      <alignment horizontal="left" vertical="center"/>
      <protection/>
    </xf>
    <xf numFmtId="184" fontId="5" fillId="0" borderId="13" xfId="42" applyNumberFormat="1" applyFont="1" applyFill="1" applyBorder="1" applyAlignment="1" applyProtection="1">
      <alignment horizontal="right" vertical="center"/>
      <protection/>
    </xf>
    <xf numFmtId="0" fontId="5" fillId="0" borderId="13" xfId="42" applyNumberFormat="1" applyFont="1" applyFill="1" applyBorder="1" applyAlignment="1" applyProtection="1">
      <alignment vertical="center"/>
      <protection/>
    </xf>
    <xf numFmtId="0" fontId="5" fillId="0" borderId="14" xfId="42" applyNumberFormat="1" applyFont="1" applyFill="1" applyBorder="1" applyAlignment="1" applyProtection="1">
      <alignment vertical="center"/>
      <protection/>
    </xf>
    <xf numFmtId="184" fontId="5" fillId="0" borderId="15" xfId="42" applyNumberFormat="1" applyFont="1" applyFill="1" applyBorder="1" applyAlignment="1" applyProtection="1">
      <alignment horizontal="right" vertical="center"/>
      <protection/>
    </xf>
    <xf numFmtId="184" fontId="5" fillId="0" borderId="14" xfId="42" applyNumberFormat="1" applyFont="1" applyFill="1" applyBorder="1" applyAlignment="1" applyProtection="1">
      <alignment horizontal="right" vertical="center"/>
      <protection/>
    </xf>
    <xf numFmtId="0" fontId="5" fillId="0" borderId="11" xfId="42" applyNumberFormat="1" applyFont="1" applyFill="1" applyBorder="1" applyAlignment="1" applyProtection="1">
      <alignment vertical="center"/>
      <protection/>
    </xf>
    <xf numFmtId="184" fontId="5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11" xfId="42" applyNumberFormat="1" applyFont="1" applyFill="1" applyBorder="1" applyAlignment="1" applyProtection="1">
      <alignment horizontal="left" vertical="center"/>
      <protection/>
    </xf>
    <xf numFmtId="10" fontId="5" fillId="0" borderId="11" xfId="33" applyNumberFormat="1" applyFont="1" applyFill="1" applyBorder="1" applyAlignment="1" applyProtection="1">
      <alignment horizontal="right" vertical="center"/>
      <protection/>
    </xf>
    <xf numFmtId="0" fontId="5" fillId="0" borderId="16" xfId="42" applyNumberFormat="1" applyFont="1" applyFill="1" applyBorder="1" applyAlignment="1" applyProtection="1">
      <alignment vertical="center"/>
      <protection/>
    </xf>
    <xf numFmtId="184" fontId="5" fillId="0" borderId="17" xfId="42" applyNumberFormat="1" applyFont="1" applyFill="1" applyBorder="1" applyAlignment="1" applyProtection="1">
      <alignment horizontal="right" vertical="center"/>
      <protection/>
    </xf>
    <xf numFmtId="184" fontId="5" fillId="0" borderId="18" xfId="42" applyNumberFormat="1" applyFont="1" applyFill="1" applyBorder="1" applyAlignment="1" applyProtection="1">
      <alignment horizontal="right" vertical="center"/>
      <protection/>
    </xf>
    <xf numFmtId="184" fontId="5" fillId="0" borderId="19" xfId="42" applyNumberFormat="1" applyFont="1" applyFill="1" applyBorder="1" applyAlignment="1" applyProtection="1">
      <alignment horizontal="right" vertical="center"/>
      <protection/>
    </xf>
    <xf numFmtId="0" fontId="5" fillId="0" borderId="20" xfId="42" applyNumberFormat="1" applyFont="1" applyFill="1" applyBorder="1" applyAlignment="1" applyProtection="1">
      <alignment horizontal="left" vertical="center"/>
      <protection/>
    </xf>
    <xf numFmtId="10" fontId="5" fillId="0" borderId="21" xfId="33" applyNumberFormat="1" applyFont="1" applyFill="1" applyBorder="1" applyAlignment="1" applyProtection="1">
      <alignment horizontal="right" vertical="center"/>
      <protection/>
    </xf>
    <xf numFmtId="10" fontId="5" fillId="0" borderId="22" xfId="33" applyNumberFormat="1" applyFont="1" applyFill="1" applyBorder="1" applyAlignment="1" applyProtection="1">
      <alignment horizontal="right" vertical="center"/>
      <protection/>
    </xf>
    <xf numFmtId="0" fontId="5" fillId="0" borderId="20" xfId="42" applyNumberFormat="1" applyFont="1" applyFill="1" applyBorder="1" applyAlignment="1" applyProtection="1">
      <alignment vertical="center"/>
      <protection/>
    </xf>
    <xf numFmtId="184" fontId="5" fillId="0" borderId="23" xfId="42" applyNumberFormat="1" applyFont="1" applyFill="1" applyBorder="1" applyAlignment="1" applyProtection="1">
      <alignment horizontal="right" vertical="center"/>
      <protection/>
    </xf>
    <xf numFmtId="184" fontId="5" fillId="0" borderId="24" xfId="42" applyNumberFormat="1" applyFont="1" applyFill="1" applyBorder="1" applyAlignment="1" applyProtection="1">
      <alignment horizontal="right" vertical="center"/>
      <protection/>
    </xf>
    <xf numFmtId="184" fontId="5" fillId="0" borderId="25" xfId="42" applyNumberFormat="1" applyFont="1" applyFill="1" applyBorder="1" applyAlignment="1" applyProtection="1">
      <alignment horizontal="right" vertical="center"/>
      <protection/>
    </xf>
    <xf numFmtId="184" fontId="5" fillId="0" borderId="22" xfId="42" applyNumberFormat="1" applyFont="1" applyFill="1" applyBorder="1" applyAlignment="1" applyProtection="1">
      <alignment horizontal="right" vertical="center"/>
      <protection/>
    </xf>
    <xf numFmtId="184" fontId="1" fillId="0" borderId="11" xfId="45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0" fontId="5" fillId="0" borderId="26" xfId="33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5" fillId="0" borderId="11" xfId="55" applyNumberFormat="1" applyFont="1" applyBorder="1" applyAlignment="1">
      <alignment vertical="center"/>
    </xf>
    <xf numFmtId="184" fontId="5" fillId="0" borderId="11" xfId="55" applyNumberFormat="1" applyFont="1" applyBorder="1" applyAlignment="1">
      <alignment horizontal="right" vertical="center"/>
    </xf>
    <xf numFmtId="10" fontId="5" fillId="0" borderId="11" xfId="33" applyNumberFormat="1" applyFont="1" applyBorder="1" applyAlignment="1">
      <alignment horizontal="right" vertical="center"/>
    </xf>
    <xf numFmtId="184" fontId="5" fillId="0" borderId="11" xfId="0" applyNumberFormat="1" applyFont="1" applyBorder="1" applyAlignment="1">
      <alignment vertical="center"/>
    </xf>
    <xf numFmtId="10" fontId="5" fillId="0" borderId="11" xfId="33" applyNumberFormat="1" applyFont="1" applyBorder="1" applyAlignment="1">
      <alignment vertical="center"/>
    </xf>
    <xf numFmtId="184" fontId="5" fillId="0" borderId="11" xfId="56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91" fontId="5" fillId="0" borderId="26" xfId="0" applyNumberFormat="1" applyFont="1" applyBorder="1" applyAlignment="1">
      <alignment vertical="center"/>
    </xf>
    <xf numFmtId="10" fontId="0" fillId="0" borderId="0" xfId="33" applyNumberFormat="1" applyAlignment="1">
      <alignment vertical="center"/>
    </xf>
    <xf numFmtId="200" fontId="0" fillId="0" borderId="0" xfId="0" applyNumberFormat="1" applyAlignment="1">
      <alignment vertical="center"/>
    </xf>
    <xf numFmtId="0" fontId="4" fillId="0" borderId="0" xfId="43" applyFont="1" applyFill="1" applyBorder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3" fillId="0" borderId="0" xfId="45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3" xfId="34"/>
    <cellStyle name="百分比 4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4 3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4 2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26.125" style="0" customWidth="1"/>
    <col min="2" max="2" width="10.50390625" style="0" customWidth="1"/>
    <col min="3" max="3" width="11.25390625" style="0" customWidth="1"/>
    <col min="4" max="5" width="10.75390625" style="0" customWidth="1"/>
    <col min="6" max="6" width="10.50390625" style="0" customWidth="1"/>
  </cols>
  <sheetData>
    <row r="1" spans="1:7" ht="30" customHeight="1">
      <c r="A1" s="134" t="s">
        <v>265</v>
      </c>
      <c r="B1" s="135"/>
      <c r="C1" s="135"/>
      <c r="D1" s="135"/>
      <c r="E1" s="135"/>
      <c r="F1" s="135"/>
      <c r="G1" s="135"/>
    </row>
    <row r="2" ht="21.75" customHeight="1">
      <c r="G2" s="9" t="s">
        <v>86</v>
      </c>
    </row>
    <row r="3" spans="1:7" ht="18" customHeight="1">
      <c r="A3" s="1" t="s">
        <v>46</v>
      </c>
      <c r="B3" s="1" t="s">
        <v>89</v>
      </c>
      <c r="C3" s="1" t="s">
        <v>91</v>
      </c>
      <c r="D3" s="12" t="s">
        <v>92</v>
      </c>
      <c r="E3" s="15" t="s">
        <v>93</v>
      </c>
      <c r="F3" s="15" t="s">
        <v>94</v>
      </c>
      <c r="G3" s="15" t="s">
        <v>95</v>
      </c>
    </row>
    <row r="4" spans="1:7" ht="18" customHeight="1">
      <c r="A4" s="2" t="s">
        <v>42</v>
      </c>
      <c r="B4" s="3">
        <v>110292</v>
      </c>
      <c r="C4" s="3">
        <v>36864</v>
      </c>
      <c r="D4" s="13">
        <f aca="true" t="shared" si="0" ref="D4:D11">C4/B4</f>
        <v>0.33424001740833426</v>
      </c>
      <c r="E4" s="3">
        <v>47186</v>
      </c>
      <c r="F4" s="17">
        <f>C4-E4</f>
        <v>-10322</v>
      </c>
      <c r="G4" s="13">
        <f>F4/E4</f>
        <v>-0.21875132454541601</v>
      </c>
    </row>
    <row r="5" spans="1:7" ht="18" customHeight="1">
      <c r="A5" s="6" t="s">
        <v>358</v>
      </c>
      <c r="B5" s="4">
        <v>13000</v>
      </c>
      <c r="C5" s="10">
        <v>4915</v>
      </c>
      <c r="D5" s="14">
        <f t="shared" si="0"/>
        <v>0.3780769230769231</v>
      </c>
      <c r="E5" s="10">
        <v>5826</v>
      </c>
      <c r="F5" s="10">
        <f aca="true" t="shared" si="1" ref="F5:F71">C5-E5</f>
        <v>-911</v>
      </c>
      <c r="G5" s="14">
        <f aca="true" t="shared" si="2" ref="G5:G71">F5/E5</f>
        <v>-0.15636800549261928</v>
      </c>
    </row>
    <row r="6" spans="1:7" ht="18" customHeight="1">
      <c r="A6" s="6" t="s">
        <v>359</v>
      </c>
      <c r="B6" s="4">
        <v>6200</v>
      </c>
      <c r="C6" s="10">
        <v>1310</v>
      </c>
      <c r="D6" s="14">
        <f t="shared" si="0"/>
        <v>0.21129032258064517</v>
      </c>
      <c r="E6" s="10">
        <v>1002</v>
      </c>
      <c r="F6" s="10">
        <f t="shared" si="1"/>
        <v>308</v>
      </c>
      <c r="G6" s="14">
        <f t="shared" si="2"/>
        <v>0.3073852295409182</v>
      </c>
    </row>
    <row r="7" spans="1:7" ht="18" customHeight="1">
      <c r="A7" s="6" t="s">
        <v>360</v>
      </c>
      <c r="B7" s="4">
        <v>28750</v>
      </c>
      <c r="C7" s="10">
        <v>10118</v>
      </c>
      <c r="D7" s="14">
        <f t="shared" si="0"/>
        <v>0.3519304347826087</v>
      </c>
      <c r="E7" s="10">
        <v>11794</v>
      </c>
      <c r="F7" s="10">
        <f t="shared" si="1"/>
        <v>-1676</v>
      </c>
      <c r="G7" s="14">
        <f t="shared" si="2"/>
        <v>-0.14210615567237578</v>
      </c>
    </row>
    <row r="8" spans="1:7" ht="18" customHeight="1">
      <c r="A8" s="6" t="s">
        <v>47</v>
      </c>
      <c r="B8" s="4">
        <f>SUM(B9:B10)</f>
        <v>6095</v>
      </c>
      <c r="C8" s="10">
        <v>3121</v>
      </c>
      <c r="D8" s="14">
        <f t="shared" si="0"/>
        <v>0.5120590648072191</v>
      </c>
      <c r="E8" s="10">
        <v>3570</v>
      </c>
      <c r="F8" s="10">
        <f t="shared" si="1"/>
        <v>-449</v>
      </c>
      <c r="G8" s="14">
        <f t="shared" si="2"/>
        <v>-0.1257703081232493</v>
      </c>
    </row>
    <row r="9" spans="1:7" ht="18" customHeight="1">
      <c r="A9" s="6" t="s">
        <v>48</v>
      </c>
      <c r="B9" s="4">
        <v>4140</v>
      </c>
      <c r="C9" s="10">
        <v>1814</v>
      </c>
      <c r="D9" s="14">
        <f t="shared" si="0"/>
        <v>0.43816425120772945</v>
      </c>
      <c r="E9" s="10">
        <v>2389</v>
      </c>
      <c r="F9" s="10">
        <f t="shared" si="1"/>
        <v>-575</v>
      </c>
      <c r="G9" s="14">
        <f t="shared" si="2"/>
        <v>-0.24068647969861867</v>
      </c>
    </row>
    <row r="10" spans="1:7" ht="18" customHeight="1">
      <c r="A10" s="6" t="s">
        <v>49</v>
      </c>
      <c r="B10" s="4">
        <v>1955</v>
      </c>
      <c r="C10" s="10">
        <v>1307</v>
      </c>
      <c r="D10" s="14">
        <f t="shared" si="0"/>
        <v>0.668542199488491</v>
      </c>
      <c r="E10" s="10">
        <v>1181</v>
      </c>
      <c r="F10" s="10">
        <f t="shared" si="1"/>
        <v>126</v>
      </c>
      <c r="G10" s="14">
        <f t="shared" si="2"/>
        <v>0.10668924640135478</v>
      </c>
    </row>
    <row r="11" spans="1:7" ht="18" customHeight="1">
      <c r="A11" s="6" t="s">
        <v>50</v>
      </c>
      <c r="B11" s="4">
        <f>SUM(B12:B13)</f>
        <v>2760</v>
      </c>
      <c r="C11" s="10">
        <v>1332</v>
      </c>
      <c r="D11" s="14">
        <f t="shared" si="0"/>
        <v>0.4826086956521739</v>
      </c>
      <c r="E11" s="10">
        <v>1425</v>
      </c>
      <c r="F11" s="10">
        <f t="shared" si="1"/>
        <v>-93</v>
      </c>
      <c r="G11" s="14">
        <f t="shared" si="2"/>
        <v>-0.06526315789473684</v>
      </c>
    </row>
    <row r="12" spans="1:7" ht="18" customHeight="1">
      <c r="A12" s="6" t="s">
        <v>48</v>
      </c>
      <c r="B12" s="4"/>
      <c r="C12" s="10"/>
      <c r="D12" s="14"/>
      <c r="E12" s="10">
        <v>0</v>
      </c>
      <c r="F12" s="10">
        <f t="shared" si="1"/>
        <v>0</v>
      </c>
      <c r="G12" s="14"/>
    </row>
    <row r="13" spans="1:7" ht="18" customHeight="1">
      <c r="A13" s="6" t="s">
        <v>49</v>
      </c>
      <c r="B13" s="4">
        <v>2760</v>
      </c>
      <c r="C13" s="10">
        <v>1332</v>
      </c>
      <c r="D13" s="14">
        <f aca="true" t="shared" si="3" ref="D13:D30">C13/B13</f>
        <v>0.4826086956521739</v>
      </c>
      <c r="E13" s="10">
        <v>1425</v>
      </c>
      <c r="F13" s="10">
        <f t="shared" si="1"/>
        <v>-93</v>
      </c>
      <c r="G13" s="14">
        <f t="shared" si="2"/>
        <v>-0.06526315789473684</v>
      </c>
    </row>
    <row r="14" spans="1:7" ht="18" customHeight="1">
      <c r="A14" s="6" t="s">
        <v>51</v>
      </c>
      <c r="B14" s="4">
        <v>2300</v>
      </c>
      <c r="C14" s="10">
        <v>738</v>
      </c>
      <c r="D14" s="14">
        <f t="shared" si="3"/>
        <v>0.3208695652173913</v>
      </c>
      <c r="E14" s="10">
        <v>1523</v>
      </c>
      <c r="F14" s="10">
        <f t="shared" si="1"/>
        <v>-785</v>
      </c>
      <c r="G14" s="14">
        <f t="shared" si="2"/>
        <v>-0.51543007222587</v>
      </c>
    </row>
    <row r="15" spans="1:10" ht="18" customHeight="1">
      <c r="A15" s="6" t="s">
        <v>52</v>
      </c>
      <c r="B15" s="4">
        <f>ROUND((B5/0.1875+B6/0.75+B7/0.75+B54)*0.063,0)-9+140</f>
        <v>7473</v>
      </c>
      <c r="C15" s="10">
        <v>2064</v>
      </c>
      <c r="D15" s="14">
        <f t="shared" si="3"/>
        <v>0.27619429947812124</v>
      </c>
      <c r="E15" s="10">
        <v>2110</v>
      </c>
      <c r="F15" s="10">
        <f t="shared" si="1"/>
        <v>-46</v>
      </c>
      <c r="G15" s="14">
        <f t="shared" si="2"/>
        <v>-0.021800947867298578</v>
      </c>
      <c r="I15" s="18"/>
      <c r="J15" s="18"/>
    </row>
    <row r="16" spans="1:7" ht="18" customHeight="1">
      <c r="A16" s="6" t="s">
        <v>53</v>
      </c>
      <c r="B16" s="4">
        <v>2300</v>
      </c>
      <c r="C16" s="10">
        <v>840</v>
      </c>
      <c r="D16" s="14">
        <f t="shared" si="3"/>
        <v>0.3652173913043478</v>
      </c>
      <c r="E16" s="10">
        <v>770</v>
      </c>
      <c r="F16" s="10">
        <f t="shared" si="1"/>
        <v>70</v>
      </c>
      <c r="G16" s="14">
        <f t="shared" si="2"/>
        <v>0.09090909090909091</v>
      </c>
    </row>
    <row r="17" spans="1:7" ht="18" customHeight="1">
      <c r="A17" s="7" t="s">
        <v>54</v>
      </c>
      <c r="B17" s="4">
        <v>920</v>
      </c>
      <c r="C17" s="10">
        <v>322</v>
      </c>
      <c r="D17" s="14">
        <f t="shared" si="3"/>
        <v>0.35</v>
      </c>
      <c r="E17" s="10">
        <v>330</v>
      </c>
      <c r="F17" s="10">
        <f t="shared" si="1"/>
        <v>-8</v>
      </c>
      <c r="G17" s="14">
        <f t="shared" si="2"/>
        <v>-0.024242424242424242</v>
      </c>
    </row>
    <row r="18" spans="1:7" ht="18" customHeight="1">
      <c r="A18" s="7" t="s">
        <v>55</v>
      </c>
      <c r="B18" s="4">
        <v>2070</v>
      </c>
      <c r="C18" s="10">
        <v>957</v>
      </c>
      <c r="D18" s="14">
        <f t="shared" si="3"/>
        <v>0.4623188405797101</v>
      </c>
      <c r="E18" s="10">
        <v>851</v>
      </c>
      <c r="F18" s="10">
        <f t="shared" si="1"/>
        <v>106</v>
      </c>
      <c r="G18" s="14">
        <f t="shared" si="2"/>
        <v>0.1245593419506463</v>
      </c>
    </row>
    <row r="19" spans="1:7" ht="18" customHeight="1">
      <c r="A19" s="7" t="s">
        <v>56</v>
      </c>
      <c r="B19" s="4">
        <v>13000</v>
      </c>
      <c r="C19" s="10">
        <v>2476</v>
      </c>
      <c r="D19" s="14">
        <f t="shared" si="3"/>
        <v>0.19046153846153846</v>
      </c>
      <c r="E19" s="10">
        <v>5001</v>
      </c>
      <c r="F19" s="10">
        <f t="shared" si="1"/>
        <v>-2525</v>
      </c>
      <c r="G19" s="14">
        <f t="shared" si="2"/>
        <v>-0.5048990201959608</v>
      </c>
    </row>
    <row r="20" spans="1:7" ht="18" customHeight="1">
      <c r="A20" s="7" t="s">
        <v>57</v>
      </c>
      <c r="B20" s="4">
        <v>1024</v>
      </c>
      <c r="C20" s="10">
        <v>658</v>
      </c>
      <c r="D20" s="14">
        <f t="shared" si="3"/>
        <v>0.642578125</v>
      </c>
      <c r="E20" s="10">
        <v>542</v>
      </c>
      <c r="F20" s="10">
        <f t="shared" si="1"/>
        <v>116</v>
      </c>
      <c r="G20" s="14">
        <f t="shared" si="2"/>
        <v>0.2140221402214022</v>
      </c>
    </row>
    <row r="21" spans="1:7" ht="18" customHeight="1">
      <c r="A21" s="7" t="s">
        <v>43</v>
      </c>
      <c r="B21" s="4">
        <v>13000</v>
      </c>
      <c r="C21" s="10">
        <v>3832</v>
      </c>
      <c r="D21" s="14">
        <f t="shared" si="3"/>
        <v>0.2947692307692308</v>
      </c>
      <c r="E21" s="10">
        <v>1301</v>
      </c>
      <c r="F21" s="10">
        <f t="shared" si="1"/>
        <v>2531</v>
      </c>
      <c r="G21" s="14">
        <f t="shared" si="2"/>
        <v>1.9454265949269793</v>
      </c>
    </row>
    <row r="22" spans="1:7" ht="18" customHeight="1">
      <c r="A22" s="7" t="s">
        <v>44</v>
      </c>
      <c r="B22" s="4">
        <v>10000</v>
      </c>
      <c r="C22" s="10">
        <v>3181</v>
      </c>
      <c r="D22" s="14">
        <f t="shared" si="3"/>
        <v>0.3181</v>
      </c>
      <c r="E22" s="10">
        <v>10141</v>
      </c>
      <c r="F22" s="10">
        <f t="shared" si="1"/>
        <v>-6960</v>
      </c>
      <c r="G22" s="14">
        <f t="shared" si="2"/>
        <v>-0.6863228478453801</v>
      </c>
    </row>
    <row r="23" spans="1:7" ht="18" customHeight="1">
      <c r="A23" s="7" t="s">
        <v>58</v>
      </c>
      <c r="B23" s="4">
        <v>1400</v>
      </c>
      <c r="C23" s="10">
        <v>1000</v>
      </c>
      <c r="D23" s="14">
        <f t="shared" si="3"/>
        <v>0.7142857142857143</v>
      </c>
      <c r="E23" s="10">
        <v>1000</v>
      </c>
      <c r="F23" s="10"/>
      <c r="G23" s="14"/>
    </row>
    <row r="24" spans="1:7" ht="18" customHeight="1">
      <c r="A24" s="2" t="s">
        <v>45</v>
      </c>
      <c r="B24" s="3">
        <f>65827+460</f>
        <v>66287</v>
      </c>
      <c r="C24" s="3">
        <v>71847</v>
      </c>
      <c r="D24" s="13">
        <f t="shared" si="3"/>
        <v>1.083877683407003</v>
      </c>
      <c r="E24" s="3">
        <v>42049</v>
      </c>
      <c r="F24" s="17">
        <f t="shared" si="1"/>
        <v>29798</v>
      </c>
      <c r="G24" s="13">
        <f t="shared" si="2"/>
        <v>0.7086494328045851</v>
      </c>
    </row>
    <row r="25" spans="1:7" ht="18" customHeight="1">
      <c r="A25" s="6" t="s">
        <v>59</v>
      </c>
      <c r="B25" s="4">
        <v>13331</v>
      </c>
      <c r="C25" s="10">
        <v>4370</v>
      </c>
      <c r="D25" s="14">
        <f t="shared" si="3"/>
        <v>0.32780736628910057</v>
      </c>
      <c r="E25" s="10">
        <v>5410</v>
      </c>
      <c r="F25" s="10">
        <f t="shared" si="1"/>
        <v>-1040</v>
      </c>
      <c r="G25" s="14">
        <f t="shared" si="2"/>
        <v>-0.1922365988909427</v>
      </c>
    </row>
    <row r="26" spans="1:7" ht="18" customHeight="1">
      <c r="A26" s="6" t="s">
        <v>266</v>
      </c>
      <c r="B26" s="4">
        <v>500</v>
      </c>
      <c r="C26" s="10">
        <v>187</v>
      </c>
      <c r="D26" s="14">
        <f t="shared" si="3"/>
        <v>0.374</v>
      </c>
      <c r="E26" s="10">
        <v>209</v>
      </c>
      <c r="F26" s="10">
        <f t="shared" si="1"/>
        <v>-22</v>
      </c>
      <c r="G26" s="14">
        <f t="shared" si="2"/>
        <v>-0.10526315789473684</v>
      </c>
    </row>
    <row r="27" spans="1:7" ht="18" customHeight="1">
      <c r="A27" s="6" t="s">
        <v>60</v>
      </c>
      <c r="B27" s="4">
        <v>180</v>
      </c>
      <c r="C27" s="10">
        <v>43</v>
      </c>
      <c r="D27" s="14">
        <f t="shared" si="3"/>
        <v>0.2388888888888889</v>
      </c>
      <c r="E27" s="10">
        <v>63</v>
      </c>
      <c r="F27" s="10">
        <f t="shared" si="1"/>
        <v>-20</v>
      </c>
      <c r="G27" s="14"/>
    </row>
    <row r="28" spans="1:7" ht="18" customHeight="1">
      <c r="A28" s="6" t="s">
        <v>61</v>
      </c>
      <c r="B28" s="4">
        <v>1400</v>
      </c>
      <c r="C28" s="10"/>
      <c r="D28" s="14">
        <f t="shared" si="3"/>
        <v>0</v>
      </c>
      <c r="E28" s="10">
        <v>1448</v>
      </c>
      <c r="F28" s="10">
        <f t="shared" si="1"/>
        <v>-1448</v>
      </c>
      <c r="G28" s="14">
        <f t="shared" si="2"/>
        <v>-1</v>
      </c>
    </row>
    <row r="29" spans="1:7" ht="18" customHeight="1">
      <c r="A29" s="6" t="s">
        <v>267</v>
      </c>
      <c r="B29" s="4">
        <v>134</v>
      </c>
      <c r="C29" s="10">
        <v>47</v>
      </c>
      <c r="D29" s="14">
        <f t="shared" si="3"/>
        <v>0.35074626865671643</v>
      </c>
      <c r="E29" s="10">
        <v>45</v>
      </c>
      <c r="F29" s="10">
        <f t="shared" si="1"/>
        <v>2</v>
      </c>
      <c r="G29" s="14">
        <f t="shared" si="2"/>
        <v>0.044444444444444446</v>
      </c>
    </row>
    <row r="30" spans="1:7" ht="18" customHeight="1">
      <c r="A30" s="6" t="s">
        <v>268</v>
      </c>
      <c r="B30" s="4">
        <v>10</v>
      </c>
      <c r="C30" s="10"/>
      <c r="D30" s="14">
        <f t="shared" si="3"/>
        <v>0</v>
      </c>
      <c r="E30" s="10"/>
      <c r="F30" s="10">
        <f t="shared" si="1"/>
        <v>0</v>
      </c>
      <c r="G30" s="14"/>
    </row>
    <row r="31" spans="1:7" ht="18" customHeight="1">
      <c r="A31" s="6" t="s">
        <v>269</v>
      </c>
      <c r="B31" s="4">
        <v>700</v>
      </c>
      <c r="C31" s="10"/>
      <c r="D31" s="14"/>
      <c r="E31" s="10">
        <v>693</v>
      </c>
      <c r="F31" s="10">
        <f t="shared" si="1"/>
        <v>-693</v>
      </c>
      <c r="G31" s="14"/>
    </row>
    <row r="32" spans="1:7" ht="18" customHeight="1">
      <c r="A32" s="6" t="s">
        <v>270</v>
      </c>
      <c r="B32" s="4">
        <v>900</v>
      </c>
      <c r="C32" s="10">
        <v>405</v>
      </c>
      <c r="D32" s="14"/>
      <c r="E32" s="10">
        <v>665</v>
      </c>
      <c r="F32" s="10">
        <f t="shared" si="1"/>
        <v>-260</v>
      </c>
      <c r="G32" s="14"/>
    </row>
    <row r="33" spans="1:7" ht="18" customHeight="1">
      <c r="A33" s="6" t="s">
        <v>318</v>
      </c>
      <c r="B33" s="4">
        <v>400</v>
      </c>
      <c r="C33" s="66">
        <v>348</v>
      </c>
      <c r="D33" s="14"/>
      <c r="E33" s="10"/>
      <c r="F33" s="10"/>
      <c r="G33" s="14"/>
    </row>
    <row r="34" spans="1:7" ht="18" customHeight="1">
      <c r="A34" s="6" t="s">
        <v>271</v>
      </c>
      <c r="B34" s="4">
        <v>2000</v>
      </c>
      <c r="C34" s="10">
        <v>1000</v>
      </c>
      <c r="D34" s="14"/>
      <c r="E34" s="10"/>
      <c r="F34" s="10"/>
      <c r="G34" s="14"/>
    </row>
    <row r="35" spans="1:7" ht="18" customHeight="1">
      <c r="A35" s="6" t="s">
        <v>272</v>
      </c>
      <c r="B35" s="4">
        <v>1600</v>
      </c>
      <c r="C35" s="10">
        <v>300</v>
      </c>
      <c r="D35" s="14"/>
      <c r="E35" s="10"/>
      <c r="F35" s="10"/>
      <c r="G35" s="14"/>
    </row>
    <row r="36" spans="1:7" ht="18" customHeight="1">
      <c r="A36" s="6" t="s">
        <v>273</v>
      </c>
      <c r="B36" s="4">
        <v>20</v>
      </c>
      <c r="C36" s="10">
        <v>458</v>
      </c>
      <c r="D36" s="14"/>
      <c r="E36" s="10"/>
      <c r="F36" s="10"/>
      <c r="G36" s="14"/>
    </row>
    <row r="37" spans="1:7" ht="18" customHeight="1">
      <c r="A37" s="6" t="s">
        <v>274</v>
      </c>
      <c r="B37" s="4">
        <v>3496</v>
      </c>
      <c r="C37" s="10">
        <v>1148</v>
      </c>
      <c r="D37" s="14"/>
      <c r="E37" s="10">
        <v>1394</v>
      </c>
      <c r="F37" s="10"/>
      <c r="G37" s="14"/>
    </row>
    <row r="38" spans="1:7" ht="18" customHeight="1">
      <c r="A38" s="6" t="s">
        <v>275</v>
      </c>
      <c r="B38" s="4">
        <v>2331</v>
      </c>
      <c r="C38" s="10">
        <v>782</v>
      </c>
      <c r="D38" s="14"/>
      <c r="E38" s="10">
        <v>893</v>
      </c>
      <c r="F38" s="10"/>
      <c r="G38" s="14"/>
    </row>
    <row r="39" spans="1:7" ht="18" customHeight="1">
      <c r="A39" s="6" t="s">
        <v>276</v>
      </c>
      <c r="B39" s="4">
        <v>60</v>
      </c>
      <c r="C39" s="10"/>
      <c r="D39" s="14"/>
      <c r="E39" s="10"/>
      <c r="F39" s="10"/>
      <c r="G39" s="14"/>
    </row>
    <row r="40" spans="1:7" ht="18" customHeight="1">
      <c r="A40" s="6" t="s">
        <v>62</v>
      </c>
      <c r="B40" s="4">
        <v>8600</v>
      </c>
      <c r="C40" s="10">
        <v>2538</v>
      </c>
      <c r="D40" s="14">
        <f>C40/B40</f>
        <v>0.29511627906976745</v>
      </c>
      <c r="E40" s="10">
        <v>3904</v>
      </c>
      <c r="F40" s="10">
        <f t="shared" si="1"/>
        <v>-1366</v>
      </c>
      <c r="G40" s="14">
        <f t="shared" si="2"/>
        <v>-0.34989754098360654</v>
      </c>
    </row>
    <row r="41" spans="1:7" ht="18" customHeight="1">
      <c r="A41" s="6" t="s">
        <v>63</v>
      </c>
      <c r="B41" s="4">
        <v>5500</v>
      </c>
      <c r="C41" s="10">
        <v>2608</v>
      </c>
      <c r="D41" s="14">
        <f>C41/B41</f>
        <v>0.4741818181818182</v>
      </c>
      <c r="E41" s="10">
        <v>3364</v>
      </c>
      <c r="F41" s="10">
        <f t="shared" si="1"/>
        <v>-756</v>
      </c>
      <c r="G41" s="14">
        <f t="shared" si="2"/>
        <v>-0.22473246135552913</v>
      </c>
    </row>
    <row r="42" spans="1:7" ht="18" customHeight="1">
      <c r="A42" s="6" t="s">
        <v>277</v>
      </c>
      <c r="B42" s="4">
        <v>163</v>
      </c>
      <c r="C42" s="10"/>
      <c r="D42" s="14"/>
      <c r="E42" s="10"/>
      <c r="F42" s="10"/>
      <c r="G42" s="14"/>
    </row>
    <row r="43" spans="1:7" ht="18" customHeight="1">
      <c r="A43" s="6" t="s">
        <v>278</v>
      </c>
      <c r="B43" s="4">
        <v>13</v>
      </c>
      <c r="C43" s="10"/>
      <c r="D43" s="14"/>
      <c r="E43" s="10"/>
      <c r="F43" s="10"/>
      <c r="G43" s="14"/>
    </row>
    <row r="44" spans="1:7" ht="18" customHeight="1">
      <c r="A44" s="6" t="s">
        <v>279</v>
      </c>
      <c r="B44" s="4">
        <v>150</v>
      </c>
      <c r="C44" s="10"/>
      <c r="D44" s="14"/>
      <c r="E44" s="10"/>
      <c r="F44" s="10"/>
      <c r="G44" s="14"/>
    </row>
    <row r="45" spans="1:7" ht="30" customHeight="1">
      <c r="A45" s="11" t="s">
        <v>280</v>
      </c>
      <c r="B45" s="4">
        <v>5050</v>
      </c>
      <c r="C45" s="10">
        <v>34400</v>
      </c>
      <c r="D45" s="14">
        <f>C45/B45</f>
        <v>6.811881188118812</v>
      </c>
      <c r="E45" s="10">
        <v>1851</v>
      </c>
      <c r="F45" s="10">
        <f t="shared" si="1"/>
        <v>32549</v>
      </c>
      <c r="G45" s="14">
        <f t="shared" si="2"/>
        <v>17.584548892490545</v>
      </c>
    </row>
    <row r="46" spans="1:7" ht="18" customHeight="1">
      <c r="A46" s="6" t="s">
        <v>87</v>
      </c>
      <c r="B46" s="4">
        <v>50</v>
      </c>
      <c r="C46" s="10">
        <v>83</v>
      </c>
      <c r="D46" s="14">
        <f>C46/B46</f>
        <v>1.66</v>
      </c>
      <c r="E46" s="10">
        <v>19</v>
      </c>
      <c r="F46" s="10">
        <f t="shared" si="1"/>
        <v>64</v>
      </c>
      <c r="G46" s="14">
        <f t="shared" si="2"/>
        <v>3.3684210526315788</v>
      </c>
    </row>
    <row r="47" spans="1:7" ht="18" customHeight="1">
      <c r="A47" s="6" t="s">
        <v>283</v>
      </c>
      <c r="B47" s="4"/>
      <c r="C47" s="10">
        <v>127</v>
      </c>
      <c r="D47" s="14"/>
      <c r="E47" s="10"/>
      <c r="F47" s="10"/>
      <c r="G47" s="14"/>
    </row>
    <row r="48" spans="1:7" ht="28.5" customHeight="1">
      <c r="A48" s="11" t="s">
        <v>88</v>
      </c>
      <c r="B48" s="4">
        <v>5000</v>
      </c>
      <c r="C48" s="10">
        <v>34190</v>
      </c>
      <c r="D48" s="14">
        <f>C48/B48</f>
        <v>6.838</v>
      </c>
      <c r="E48" s="10">
        <v>1832</v>
      </c>
      <c r="F48" s="10">
        <f t="shared" si="1"/>
        <v>32358</v>
      </c>
      <c r="G48" s="14">
        <f t="shared" si="2"/>
        <v>17.662663755458514</v>
      </c>
    </row>
    <row r="49" spans="1:7" ht="18" customHeight="1">
      <c r="A49" s="11" t="s">
        <v>282</v>
      </c>
      <c r="B49" s="4"/>
      <c r="C49" s="10">
        <v>9</v>
      </c>
      <c r="D49" s="14"/>
      <c r="E49" s="10"/>
      <c r="F49" s="10"/>
      <c r="G49" s="14"/>
    </row>
    <row r="50" spans="1:7" ht="18" customHeight="1">
      <c r="A50" s="6" t="s">
        <v>281</v>
      </c>
      <c r="B50" s="4">
        <f>33183+460</f>
        <v>33643</v>
      </c>
      <c r="C50" s="10">
        <v>27923</v>
      </c>
      <c r="D50" s="14">
        <f aca="true" t="shared" si="4" ref="D50:D56">C50/B50</f>
        <v>0.829979490532949</v>
      </c>
      <c r="E50" s="10">
        <v>27520</v>
      </c>
      <c r="F50" s="10">
        <f t="shared" si="1"/>
        <v>403</v>
      </c>
      <c r="G50" s="14">
        <f t="shared" si="2"/>
        <v>0.01464389534883721</v>
      </c>
    </row>
    <row r="51" spans="1:8" ht="18" customHeight="1">
      <c r="A51" s="2" t="s">
        <v>64</v>
      </c>
      <c r="B51" s="3">
        <f>176119+460</f>
        <v>176579</v>
      </c>
      <c r="C51" s="3">
        <v>108711</v>
      </c>
      <c r="D51" s="13">
        <f t="shared" si="4"/>
        <v>0.6156507852009582</v>
      </c>
      <c r="E51" s="3">
        <v>89235</v>
      </c>
      <c r="F51" s="17">
        <f t="shared" si="1"/>
        <v>19476</v>
      </c>
      <c r="G51" s="13">
        <f t="shared" si="2"/>
        <v>0.21825516893595562</v>
      </c>
      <c r="H51" s="18"/>
    </row>
    <row r="52" spans="1:7" ht="18" customHeight="1">
      <c r="A52" s="2" t="s">
        <v>65</v>
      </c>
      <c r="B52" s="3">
        <v>71589</v>
      </c>
      <c r="C52" s="3">
        <v>24845</v>
      </c>
      <c r="D52" s="13">
        <f t="shared" si="4"/>
        <v>0.34705052452192375</v>
      </c>
      <c r="E52" s="3">
        <v>34201</v>
      </c>
      <c r="F52" s="17">
        <f t="shared" si="1"/>
        <v>-9356</v>
      </c>
      <c r="G52" s="13">
        <f t="shared" si="2"/>
        <v>-0.2735592526534312</v>
      </c>
    </row>
    <row r="53" spans="1:7" ht="18" customHeight="1">
      <c r="A53" s="6" t="s">
        <v>367</v>
      </c>
      <c r="B53" s="4">
        <v>52000</v>
      </c>
      <c r="C53" s="10">
        <v>15021</v>
      </c>
      <c r="D53" s="14">
        <f t="shared" si="4"/>
        <v>0.28886538461538463</v>
      </c>
      <c r="E53" s="10">
        <v>23304</v>
      </c>
      <c r="F53" s="10">
        <f t="shared" si="1"/>
        <v>-8283</v>
      </c>
      <c r="G53" s="14">
        <f t="shared" si="2"/>
        <v>-0.35543254376931</v>
      </c>
    </row>
    <row r="54" spans="1:7" ht="18" customHeight="1">
      <c r="A54" s="6" t="s">
        <v>66</v>
      </c>
      <c r="B54" s="4">
        <v>614</v>
      </c>
      <c r="C54" s="10">
        <v>31</v>
      </c>
      <c r="D54" s="14">
        <f t="shared" si="4"/>
        <v>0.050488599348534204</v>
      </c>
      <c r="E54" s="10">
        <v>192</v>
      </c>
      <c r="F54" s="10">
        <f t="shared" si="1"/>
        <v>-161</v>
      </c>
      <c r="G54" s="14">
        <f t="shared" si="2"/>
        <v>-0.8385416666666666</v>
      </c>
    </row>
    <row r="55" spans="1:7" ht="18" customHeight="1">
      <c r="A55" s="6" t="s">
        <v>67</v>
      </c>
      <c r="B55" s="4">
        <v>13061</v>
      </c>
      <c r="C55" s="10">
        <v>6688</v>
      </c>
      <c r="D55" s="14">
        <f t="shared" si="4"/>
        <v>0.5120588010106424</v>
      </c>
      <c r="E55" s="10">
        <v>7650</v>
      </c>
      <c r="F55" s="10">
        <f t="shared" si="1"/>
        <v>-962</v>
      </c>
      <c r="G55" s="14">
        <f t="shared" si="2"/>
        <v>-0.1257516339869281</v>
      </c>
    </row>
    <row r="56" spans="1:7" ht="18" customHeight="1">
      <c r="A56" s="6" t="s">
        <v>68</v>
      </c>
      <c r="B56" s="4">
        <v>5914</v>
      </c>
      <c r="C56" s="10">
        <v>2854</v>
      </c>
      <c r="D56" s="14">
        <f t="shared" si="4"/>
        <v>0.48258369969563747</v>
      </c>
      <c r="E56" s="10">
        <v>3052</v>
      </c>
      <c r="F56" s="10">
        <f t="shared" si="1"/>
        <v>-198</v>
      </c>
      <c r="G56" s="14">
        <f t="shared" si="2"/>
        <v>-0.06487549148099607</v>
      </c>
    </row>
    <row r="57" spans="1:7" ht="18" customHeight="1">
      <c r="A57" s="6" t="s">
        <v>365</v>
      </c>
      <c r="B57" s="4"/>
      <c r="C57" s="10">
        <v>251</v>
      </c>
      <c r="D57" s="14"/>
      <c r="E57" s="10"/>
      <c r="F57" s="10"/>
      <c r="G57" s="14"/>
    </row>
    <row r="58" spans="1:7" ht="18" customHeight="1">
      <c r="A58" s="2" t="s">
        <v>69</v>
      </c>
      <c r="B58" s="3">
        <v>21432</v>
      </c>
      <c r="C58" s="3">
        <v>8013</v>
      </c>
      <c r="D58" s="13">
        <f aca="true" t="shared" si="5" ref="D58:D71">C58/B58</f>
        <v>0.3738801791713326</v>
      </c>
      <c r="E58" s="3">
        <v>9220</v>
      </c>
      <c r="F58" s="17">
        <f t="shared" si="1"/>
        <v>-1207</v>
      </c>
      <c r="G58" s="13">
        <f t="shared" si="2"/>
        <v>-0.13091106290672452</v>
      </c>
    </row>
    <row r="59" spans="1:7" ht="18" customHeight="1">
      <c r="A59" s="6" t="s">
        <v>362</v>
      </c>
      <c r="B59" s="4">
        <v>4333</v>
      </c>
      <c r="C59" s="10">
        <v>1638</v>
      </c>
      <c r="D59" s="14">
        <f t="shared" si="5"/>
        <v>0.3780290791599354</v>
      </c>
      <c r="E59" s="10">
        <v>1943</v>
      </c>
      <c r="F59" s="10">
        <f t="shared" si="1"/>
        <v>-305</v>
      </c>
      <c r="G59" s="14">
        <f t="shared" si="2"/>
        <v>-0.15697375193000515</v>
      </c>
    </row>
    <row r="60" spans="1:7" ht="18" customHeight="1">
      <c r="A60" s="6" t="s">
        <v>368</v>
      </c>
      <c r="B60" s="4">
        <v>2067</v>
      </c>
      <c r="C60" s="10">
        <v>437</v>
      </c>
      <c r="D60" s="14">
        <f t="shared" si="5"/>
        <v>0.21141751330430575</v>
      </c>
      <c r="E60" s="10">
        <v>335</v>
      </c>
      <c r="F60" s="10">
        <f t="shared" si="1"/>
        <v>102</v>
      </c>
      <c r="G60" s="14">
        <f t="shared" si="2"/>
        <v>0.3044776119402985</v>
      </c>
    </row>
    <row r="61" spans="1:7" ht="18" customHeight="1">
      <c r="A61" s="6" t="s">
        <v>364</v>
      </c>
      <c r="B61" s="4">
        <v>9583</v>
      </c>
      <c r="C61" s="10">
        <v>3373</v>
      </c>
      <c r="D61" s="14">
        <f t="shared" si="5"/>
        <v>0.3519774600855682</v>
      </c>
      <c r="E61" s="10">
        <v>3931</v>
      </c>
      <c r="F61" s="10">
        <f t="shared" si="1"/>
        <v>-558</v>
      </c>
      <c r="G61" s="14">
        <f t="shared" si="2"/>
        <v>-0.1419486135843297</v>
      </c>
    </row>
    <row r="62" spans="1:7" ht="18" customHeight="1">
      <c r="A62" s="6" t="s">
        <v>70</v>
      </c>
      <c r="B62" s="4">
        <v>2612</v>
      </c>
      <c r="C62" s="10">
        <v>1338</v>
      </c>
      <c r="D62" s="14">
        <f t="shared" si="5"/>
        <v>0.5122511485451761</v>
      </c>
      <c r="E62" s="10">
        <v>1529</v>
      </c>
      <c r="F62" s="10">
        <f t="shared" si="1"/>
        <v>-191</v>
      </c>
      <c r="G62" s="14">
        <f t="shared" si="2"/>
        <v>-0.1249182472204055</v>
      </c>
    </row>
    <row r="63" spans="1:7" ht="18" customHeight="1">
      <c r="A63" s="6" t="s">
        <v>71</v>
      </c>
      <c r="B63" s="4">
        <v>1183</v>
      </c>
      <c r="C63" s="10">
        <v>571</v>
      </c>
      <c r="D63" s="14">
        <f t="shared" si="5"/>
        <v>0.4826711749788673</v>
      </c>
      <c r="E63" s="10">
        <v>611</v>
      </c>
      <c r="F63" s="10">
        <f t="shared" si="1"/>
        <v>-40</v>
      </c>
      <c r="G63" s="14">
        <f t="shared" si="2"/>
        <v>-0.06546644844517185</v>
      </c>
    </row>
    <row r="64" spans="1:7" ht="18" customHeight="1">
      <c r="A64" s="6" t="s">
        <v>72</v>
      </c>
      <c r="B64" s="4">
        <v>767</v>
      </c>
      <c r="C64" s="10">
        <v>246</v>
      </c>
      <c r="D64" s="14">
        <f t="shared" si="5"/>
        <v>0.32073011734028684</v>
      </c>
      <c r="E64" s="10">
        <v>507</v>
      </c>
      <c r="F64" s="10">
        <f t="shared" si="1"/>
        <v>-261</v>
      </c>
      <c r="G64" s="14">
        <f t="shared" si="2"/>
        <v>-0.514792899408284</v>
      </c>
    </row>
    <row r="65" spans="1:7" ht="18" customHeight="1">
      <c r="A65" s="6" t="s">
        <v>73</v>
      </c>
      <c r="B65" s="4">
        <v>887</v>
      </c>
      <c r="C65" s="10">
        <v>410</v>
      </c>
      <c r="D65" s="14">
        <f t="shared" si="5"/>
        <v>0.46223224351747466</v>
      </c>
      <c r="E65" s="10">
        <v>365</v>
      </c>
      <c r="F65" s="10">
        <f t="shared" si="1"/>
        <v>45</v>
      </c>
      <c r="G65" s="14"/>
    </row>
    <row r="66" spans="1:7" ht="18" customHeight="1">
      <c r="A66" s="2" t="s">
        <v>74</v>
      </c>
      <c r="B66" s="3">
        <v>269600</v>
      </c>
      <c r="C66" s="3">
        <v>141569</v>
      </c>
      <c r="D66" s="13">
        <f t="shared" si="5"/>
        <v>0.5251075667655787</v>
      </c>
      <c r="E66" s="3">
        <v>132656</v>
      </c>
      <c r="F66" s="17">
        <f t="shared" si="1"/>
        <v>8913</v>
      </c>
      <c r="G66" s="13">
        <f t="shared" si="2"/>
        <v>0.06718881920154385</v>
      </c>
    </row>
    <row r="67" spans="1:7" ht="18" customHeight="1">
      <c r="A67" s="6" t="s">
        <v>75</v>
      </c>
      <c r="B67" s="4">
        <v>203313</v>
      </c>
      <c r="C67" s="4">
        <v>69721</v>
      </c>
      <c r="D67" s="14">
        <f t="shared" si="5"/>
        <v>0.34292445638006425</v>
      </c>
      <c r="E67" s="4">
        <v>90607</v>
      </c>
      <c r="F67" s="10">
        <f t="shared" si="1"/>
        <v>-20886</v>
      </c>
      <c r="G67" s="14">
        <f t="shared" si="2"/>
        <v>-0.2305119913472469</v>
      </c>
    </row>
    <row r="68" spans="1:7" ht="18" customHeight="1">
      <c r="A68" s="6" t="s">
        <v>76</v>
      </c>
      <c r="B68" s="5">
        <v>0.7541</v>
      </c>
      <c r="C68" s="5">
        <v>0.4924</v>
      </c>
      <c r="D68" s="16">
        <f t="shared" si="5"/>
        <v>0.6529637979047872</v>
      </c>
      <c r="E68" s="5">
        <v>0.683</v>
      </c>
      <c r="F68" s="5"/>
      <c r="G68" s="14"/>
    </row>
    <row r="69" spans="1:7" ht="18" customHeight="1">
      <c r="A69" s="8" t="s">
        <v>77</v>
      </c>
      <c r="B69" s="3">
        <v>93000</v>
      </c>
      <c r="C69" s="3">
        <v>29831</v>
      </c>
      <c r="D69" s="13">
        <f t="shared" si="5"/>
        <v>0.3207634408602151</v>
      </c>
      <c r="E69" s="3">
        <v>41134</v>
      </c>
      <c r="F69" s="17">
        <f t="shared" si="1"/>
        <v>-11303</v>
      </c>
      <c r="G69" s="13">
        <f t="shared" si="2"/>
        <v>-0.2747848495162153</v>
      </c>
    </row>
    <row r="70" spans="1:12" ht="18" customHeight="1">
      <c r="A70" s="8" t="s">
        <v>78</v>
      </c>
      <c r="B70" s="3">
        <v>116600</v>
      </c>
      <c r="C70" s="3">
        <v>42215</v>
      </c>
      <c r="D70" s="13">
        <f t="shared" si="5"/>
        <v>0.3620497427101201</v>
      </c>
      <c r="E70" s="3">
        <v>52074</v>
      </c>
      <c r="F70" s="17">
        <f t="shared" si="1"/>
        <v>-9859</v>
      </c>
      <c r="G70" s="13">
        <f t="shared" si="2"/>
        <v>-0.18932672734954104</v>
      </c>
      <c r="L70" s="27"/>
    </row>
    <row r="71" spans="1:7" ht="18" customHeight="1">
      <c r="A71" s="8" t="s">
        <v>79</v>
      </c>
      <c r="B71" s="3">
        <v>60000</v>
      </c>
      <c r="C71" s="3">
        <v>69523</v>
      </c>
      <c r="D71" s="13">
        <f t="shared" si="5"/>
        <v>1.1587166666666666</v>
      </c>
      <c r="E71" s="3">
        <v>39448</v>
      </c>
      <c r="F71" s="17">
        <f t="shared" si="1"/>
        <v>30075</v>
      </c>
      <c r="G71" s="13">
        <f t="shared" si="2"/>
        <v>0.7623960657067532</v>
      </c>
    </row>
    <row r="72" s="45" customFormat="1" ht="18" customHeight="1">
      <c r="A72" s="133" t="s">
        <v>366</v>
      </c>
    </row>
    <row r="75" ht="13.5">
      <c r="F75" s="18"/>
    </row>
    <row r="77" spans="1:2" ht="13.5">
      <c r="A77" s="18"/>
      <c r="B77" s="18"/>
    </row>
    <row r="78" ht="13.5">
      <c r="B78" s="18"/>
    </row>
  </sheetData>
  <sheetProtection/>
  <mergeCells count="1">
    <mergeCell ref="A1:G1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27.25390625" style="0" customWidth="1"/>
    <col min="2" max="2" width="9.50390625" style="0" bestFit="1" customWidth="1"/>
    <col min="3" max="8" width="8.50390625" style="0" bestFit="1" customWidth="1"/>
    <col min="9" max="9" width="9.125" style="0" customWidth="1"/>
  </cols>
  <sheetData>
    <row r="1" spans="1:9" ht="39" customHeight="1">
      <c r="A1" s="136" t="s">
        <v>286</v>
      </c>
      <c r="B1" s="137"/>
      <c r="C1" s="137"/>
      <c r="D1" s="137"/>
      <c r="E1" s="137"/>
      <c r="F1" s="137"/>
      <c r="G1" s="137"/>
      <c r="H1" s="137"/>
      <c r="I1" s="137"/>
    </row>
    <row r="2" ht="18.75" customHeight="1">
      <c r="I2" s="9" t="s">
        <v>86</v>
      </c>
    </row>
    <row r="3" spans="1:9" ht="18" customHeight="1">
      <c r="A3" s="1" t="s">
        <v>46</v>
      </c>
      <c r="B3" s="1" t="s">
        <v>89</v>
      </c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90</v>
      </c>
    </row>
    <row r="4" spans="1:9" ht="18" customHeight="1">
      <c r="A4" s="2" t="s">
        <v>42</v>
      </c>
      <c r="B4" s="3">
        <f>SUM(B5:B8,B11,B14:B23)</f>
        <v>110292</v>
      </c>
      <c r="C4" s="3">
        <f aca="true" t="shared" si="0" ref="C4:H4">SUM(C5:C8,C11,C14:C23)</f>
        <v>4548</v>
      </c>
      <c r="D4" s="3">
        <f t="shared" si="0"/>
        <v>2893</v>
      </c>
      <c r="E4" s="3">
        <f t="shared" si="0"/>
        <v>11697</v>
      </c>
      <c r="F4" s="3">
        <f t="shared" si="0"/>
        <v>4790</v>
      </c>
      <c r="G4" s="3">
        <f t="shared" si="0"/>
        <v>2508</v>
      </c>
      <c r="H4" s="3">
        <f t="shared" si="0"/>
        <v>10428</v>
      </c>
      <c r="I4" s="3">
        <f aca="true" t="shared" si="1" ref="I4:I19">SUM(C4:H4)</f>
        <v>36864</v>
      </c>
    </row>
    <row r="5" spans="1:9" ht="18" customHeight="1">
      <c r="A5" s="6" t="s">
        <v>358</v>
      </c>
      <c r="B5" s="4">
        <v>13000</v>
      </c>
      <c r="C5" s="4">
        <v>185</v>
      </c>
      <c r="D5" s="4">
        <v>395</v>
      </c>
      <c r="E5" s="4">
        <v>1905</v>
      </c>
      <c r="F5" s="4">
        <v>113</v>
      </c>
      <c r="G5" s="4">
        <v>289</v>
      </c>
      <c r="H5" s="4">
        <v>2028</v>
      </c>
      <c r="I5" s="10">
        <f t="shared" si="1"/>
        <v>4915</v>
      </c>
    </row>
    <row r="6" spans="1:9" ht="18" customHeight="1">
      <c r="A6" s="6" t="s">
        <v>359</v>
      </c>
      <c r="B6" s="4">
        <v>6200</v>
      </c>
      <c r="C6" s="4">
        <v>161</v>
      </c>
      <c r="D6" s="4">
        <v>124</v>
      </c>
      <c r="E6" s="4">
        <v>114</v>
      </c>
      <c r="F6" s="4">
        <v>106</v>
      </c>
      <c r="G6" s="4">
        <v>227</v>
      </c>
      <c r="H6" s="4">
        <v>578</v>
      </c>
      <c r="I6" s="10">
        <f t="shared" si="1"/>
        <v>1310</v>
      </c>
    </row>
    <row r="7" spans="1:9" ht="18" customHeight="1">
      <c r="A7" s="6" t="s">
        <v>360</v>
      </c>
      <c r="B7" s="4">
        <v>28750</v>
      </c>
      <c r="C7" s="4">
        <v>1405</v>
      </c>
      <c r="D7" s="4">
        <v>1149</v>
      </c>
      <c r="E7" s="4">
        <v>5167</v>
      </c>
      <c r="F7" s="4">
        <v>1540</v>
      </c>
      <c r="G7" s="4">
        <v>668</v>
      </c>
      <c r="H7" s="4">
        <v>189</v>
      </c>
      <c r="I7" s="10">
        <f t="shared" si="1"/>
        <v>10118</v>
      </c>
    </row>
    <row r="8" spans="1:9" ht="18" customHeight="1">
      <c r="A8" s="6" t="s">
        <v>47</v>
      </c>
      <c r="B8" s="4">
        <v>6095</v>
      </c>
      <c r="C8" s="4">
        <v>174</v>
      </c>
      <c r="D8" s="4">
        <v>112</v>
      </c>
      <c r="E8" s="4">
        <v>944</v>
      </c>
      <c r="F8" s="4">
        <v>652</v>
      </c>
      <c r="G8" s="4">
        <v>101</v>
      </c>
      <c r="H8" s="4">
        <v>1138</v>
      </c>
      <c r="I8" s="10">
        <f t="shared" si="1"/>
        <v>3121</v>
      </c>
    </row>
    <row r="9" spans="1:9" ht="18" customHeight="1">
      <c r="A9" s="6" t="s">
        <v>48</v>
      </c>
      <c r="B9" s="4">
        <v>4140</v>
      </c>
      <c r="C9" s="4">
        <v>84</v>
      </c>
      <c r="D9" s="4"/>
      <c r="E9" s="4">
        <v>336</v>
      </c>
      <c r="F9" s="4">
        <v>423</v>
      </c>
      <c r="G9" s="4">
        <v>46</v>
      </c>
      <c r="H9" s="4">
        <v>925</v>
      </c>
      <c r="I9" s="10">
        <f t="shared" si="1"/>
        <v>1814</v>
      </c>
    </row>
    <row r="10" spans="1:9" ht="18" customHeight="1">
      <c r="A10" s="6" t="s">
        <v>49</v>
      </c>
      <c r="B10" s="4">
        <v>1955</v>
      </c>
      <c r="C10" s="4">
        <f>90-1</f>
        <v>89</v>
      </c>
      <c r="D10" s="4">
        <v>112</v>
      </c>
      <c r="E10" s="4">
        <v>608</v>
      </c>
      <c r="F10" s="4">
        <v>229</v>
      </c>
      <c r="G10" s="4">
        <v>56</v>
      </c>
      <c r="H10" s="4">
        <v>213</v>
      </c>
      <c r="I10" s="10">
        <f t="shared" si="1"/>
        <v>1307</v>
      </c>
    </row>
    <row r="11" spans="1:9" ht="18" customHeight="1">
      <c r="A11" s="6" t="s">
        <v>50</v>
      </c>
      <c r="B11" s="4">
        <f>SUM(B12:B13)</f>
        <v>2760</v>
      </c>
      <c r="C11" s="4">
        <v>184</v>
      </c>
      <c r="D11" s="4">
        <v>167</v>
      </c>
      <c r="E11" s="4">
        <v>625</v>
      </c>
      <c r="F11" s="4">
        <v>142</v>
      </c>
      <c r="G11" s="4">
        <v>89</v>
      </c>
      <c r="H11" s="4">
        <v>125</v>
      </c>
      <c r="I11" s="10">
        <f t="shared" si="1"/>
        <v>1332</v>
      </c>
    </row>
    <row r="12" spans="1:9" ht="18" customHeight="1">
      <c r="A12" s="6" t="s">
        <v>48</v>
      </c>
      <c r="B12" s="4">
        <v>0</v>
      </c>
      <c r="C12" s="4"/>
      <c r="D12" s="4"/>
      <c r="E12" s="4"/>
      <c r="F12" s="4"/>
      <c r="G12" s="4"/>
      <c r="H12" s="4"/>
      <c r="I12" s="10">
        <f t="shared" si="1"/>
        <v>0</v>
      </c>
    </row>
    <row r="13" spans="1:9" ht="18" customHeight="1">
      <c r="A13" s="6" t="s">
        <v>49</v>
      </c>
      <c r="B13" s="4">
        <v>2760</v>
      </c>
      <c r="C13" s="4">
        <v>184</v>
      </c>
      <c r="D13" s="4">
        <v>167</v>
      </c>
      <c r="E13" s="4">
        <v>625</v>
      </c>
      <c r="F13" s="4">
        <v>142</v>
      </c>
      <c r="G13" s="4">
        <v>89</v>
      </c>
      <c r="H13" s="4">
        <v>125</v>
      </c>
      <c r="I13" s="10">
        <f t="shared" si="1"/>
        <v>1332</v>
      </c>
    </row>
    <row r="14" spans="1:9" ht="18" customHeight="1">
      <c r="A14" s="6" t="s">
        <v>51</v>
      </c>
      <c r="B14" s="4">
        <v>2300</v>
      </c>
      <c r="C14" s="4">
        <v>51</v>
      </c>
      <c r="D14" s="4">
        <v>12</v>
      </c>
      <c r="E14" s="4">
        <v>205</v>
      </c>
      <c r="F14" s="4">
        <v>55</v>
      </c>
      <c r="G14" s="4">
        <v>81</v>
      </c>
      <c r="H14" s="4">
        <v>335</v>
      </c>
      <c r="I14" s="10">
        <f t="shared" si="1"/>
        <v>739</v>
      </c>
    </row>
    <row r="15" spans="1:9" ht="18" customHeight="1">
      <c r="A15" s="6" t="s">
        <v>52</v>
      </c>
      <c r="B15" s="4">
        <v>7473</v>
      </c>
      <c r="C15" s="4">
        <v>317</v>
      </c>
      <c r="D15" s="4">
        <v>282</v>
      </c>
      <c r="E15" s="4">
        <v>687</v>
      </c>
      <c r="F15" s="4">
        <v>277</v>
      </c>
      <c r="G15" s="4">
        <v>236</v>
      </c>
      <c r="H15" s="4">
        <v>265</v>
      </c>
      <c r="I15" s="10">
        <f t="shared" si="1"/>
        <v>2064</v>
      </c>
    </row>
    <row r="16" spans="1:9" ht="18" customHeight="1">
      <c r="A16" s="6" t="s">
        <v>53</v>
      </c>
      <c r="B16" s="4">
        <v>2300</v>
      </c>
      <c r="C16" s="4">
        <v>93</v>
      </c>
      <c r="D16" s="4">
        <v>24</v>
      </c>
      <c r="E16" s="4">
        <v>213</v>
      </c>
      <c r="F16" s="4">
        <v>224</v>
      </c>
      <c r="G16" s="4">
        <v>33</v>
      </c>
      <c r="H16" s="4">
        <v>253</v>
      </c>
      <c r="I16" s="10">
        <f t="shared" si="1"/>
        <v>840</v>
      </c>
    </row>
    <row r="17" spans="1:9" ht="18" customHeight="1">
      <c r="A17" s="7" t="s">
        <v>54</v>
      </c>
      <c r="B17" s="4">
        <v>920</v>
      </c>
      <c r="C17" s="4">
        <v>74</v>
      </c>
      <c r="D17" s="4">
        <v>24</v>
      </c>
      <c r="E17" s="4">
        <v>77</v>
      </c>
      <c r="F17" s="4">
        <v>56</v>
      </c>
      <c r="G17" s="4">
        <v>38</v>
      </c>
      <c r="H17" s="4">
        <v>53</v>
      </c>
      <c r="I17" s="10">
        <f t="shared" si="1"/>
        <v>322</v>
      </c>
    </row>
    <row r="18" spans="1:9" ht="18" customHeight="1">
      <c r="A18" s="7" t="s">
        <v>55</v>
      </c>
      <c r="B18" s="4">
        <v>2070</v>
      </c>
      <c r="C18" s="4">
        <v>44</v>
      </c>
      <c r="D18" s="4"/>
      <c r="E18" s="4">
        <v>301</v>
      </c>
      <c r="F18" s="4">
        <v>42</v>
      </c>
      <c r="G18" s="4">
        <v>10</v>
      </c>
      <c r="H18" s="4">
        <v>560</v>
      </c>
      <c r="I18" s="10">
        <f t="shared" si="1"/>
        <v>957</v>
      </c>
    </row>
    <row r="19" spans="1:9" ht="18" customHeight="1">
      <c r="A19" s="7" t="s">
        <v>56</v>
      </c>
      <c r="B19" s="4">
        <v>13000</v>
      </c>
      <c r="C19" s="4">
        <v>367</v>
      </c>
      <c r="D19" s="4">
        <v>234</v>
      </c>
      <c r="E19" s="4">
        <v>744</v>
      </c>
      <c r="F19" s="4">
        <v>680</v>
      </c>
      <c r="G19" s="4">
        <v>73</v>
      </c>
      <c r="H19" s="4">
        <v>378</v>
      </c>
      <c r="I19" s="10">
        <f t="shared" si="1"/>
        <v>2476</v>
      </c>
    </row>
    <row r="20" spans="1:9" ht="18" customHeight="1">
      <c r="A20" s="7" t="s">
        <v>57</v>
      </c>
      <c r="B20" s="4">
        <v>1024</v>
      </c>
      <c r="C20" s="4">
        <v>110</v>
      </c>
      <c r="D20" s="4">
        <v>137</v>
      </c>
      <c r="E20" s="4">
        <v>73</v>
      </c>
      <c r="F20" s="4">
        <v>119</v>
      </c>
      <c r="G20" s="4">
        <v>105</v>
      </c>
      <c r="H20" s="4">
        <v>113</v>
      </c>
      <c r="I20" s="10">
        <f>SUM(C20:H20)+1</f>
        <v>658</v>
      </c>
    </row>
    <row r="21" spans="1:9" ht="18" customHeight="1">
      <c r="A21" s="7" t="s">
        <v>43</v>
      </c>
      <c r="B21" s="4">
        <v>13000</v>
      </c>
      <c r="C21" s="4">
        <v>768</v>
      </c>
      <c r="D21" s="4"/>
      <c r="E21" s="4">
        <v>68</v>
      </c>
      <c r="F21" s="4">
        <v>22</v>
      </c>
      <c r="G21" s="4">
        <v>29</v>
      </c>
      <c r="H21" s="4">
        <v>2945</v>
      </c>
      <c r="I21" s="10">
        <f>SUM(C21:H21)</f>
        <v>3832</v>
      </c>
    </row>
    <row r="22" spans="1:9" ht="18" customHeight="1">
      <c r="A22" s="7" t="s">
        <v>44</v>
      </c>
      <c r="B22" s="4">
        <v>10000</v>
      </c>
      <c r="C22" s="4">
        <v>615</v>
      </c>
      <c r="D22" s="4">
        <v>233</v>
      </c>
      <c r="E22" s="4">
        <v>574</v>
      </c>
      <c r="F22" s="4">
        <v>762</v>
      </c>
      <c r="G22" s="4">
        <v>529</v>
      </c>
      <c r="H22" s="4">
        <v>468</v>
      </c>
      <c r="I22" s="10">
        <f>SUM(C22:H22)</f>
        <v>3181</v>
      </c>
    </row>
    <row r="23" spans="1:9" ht="18" customHeight="1">
      <c r="A23" s="7" t="s">
        <v>58</v>
      </c>
      <c r="B23" s="4">
        <v>1400</v>
      </c>
      <c r="C23" s="4"/>
      <c r="D23" s="4"/>
      <c r="E23" s="4"/>
      <c r="F23" s="4"/>
      <c r="G23" s="4"/>
      <c r="H23" s="4">
        <v>1000</v>
      </c>
      <c r="I23" s="10">
        <f>SUM(C23:H23)</f>
        <v>1000</v>
      </c>
    </row>
    <row r="24" spans="1:9" ht="18" customHeight="1">
      <c r="A24" s="2" t="s">
        <v>45</v>
      </c>
      <c r="B24" s="3">
        <f>SUM(B25,B40:B42,B45,B49,B50)-B33</f>
        <v>66287</v>
      </c>
      <c r="C24" s="3">
        <f aca="true" t="shared" si="2" ref="C24:H24">SUM(C25,C40:C42,C45,C49,C50)-C33</f>
        <v>3238</v>
      </c>
      <c r="D24" s="3">
        <f t="shared" si="2"/>
        <v>2190</v>
      </c>
      <c r="E24" s="3">
        <f t="shared" si="2"/>
        <v>22182</v>
      </c>
      <c r="F24" s="3">
        <f t="shared" si="2"/>
        <v>2307</v>
      </c>
      <c r="G24" s="3">
        <f t="shared" si="2"/>
        <v>2379</v>
      </c>
      <c r="H24" s="3">
        <f t="shared" si="2"/>
        <v>39552</v>
      </c>
      <c r="I24" s="3">
        <f>SUM(C24:H24)</f>
        <v>71848</v>
      </c>
    </row>
    <row r="25" spans="1:9" ht="18" customHeight="1">
      <c r="A25" s="6" t="s">
        <v>59</v>
      </c>
      <c r="B25" s="4">
        <f aca="true" t="shared" si="3" ref="B25:H25">SUM(B26:B39)</f>
        <v>13731</v>
      </c>
      <c r="C25" s="4">
        <f t="shared" si="3"/>
        <v>393</v>
      </c>
      <c r="D25" s="4">
        <f t="shared" si="3"/>
        <v>342</v>
      </c>
      <c r="E25" s="4">
        <f t="shared" si="3"/>
        <v>2488</v>
      </c>
      <c r="F25" s="4">
        <f t="shared" si="3"/>
        <v>320</v>
      </c>
      <c r="G25" s="4">
        <f>SUM(G26:G39)</f>
        <v>357</v>
      </c>
      <c r="H25" s="4">
        <f t="shared" si="3"/>
        <v>470</v>
      </c>
      <c r="I25" s="10">
        <f>SUM(C25:H25)</f>
        <v>4370</v>
      </c>
    </row>
    <row r="26" spans="1:9" ht="18" customHeight="1">
      <c r="A26" s="6" t="s">
        <v>266</v>
      </c>
      <c r="B26" s="4">
        <v>500</v>
      </c>
      <c r="C26" s="4">
        <v>21</v>
      </c>
      <c r="D26" s="4"/>
      <c r="E26" s="4">
        <v>15</v>
      </c>
      <c r="F26" s="4"/>
      <c r="G26" s="4">
        <v>57</v>
      </c>
      <c r="H26" s="4">
        <v>94</v>
      </c>
      <c r="I26" s="10">
        <f aca="true" t="shared" si="4" ref="I26:I50">SUM(C26:H26)</f>
        <v>187</v>
      </c>
    </row>
    <row r="27" spans="1:9" ht="18" customHeight="1">
      <c r="A27" s="6" t="s">
        <v>60</v>
      </c>
      <c r="B27" s="4">
        <v>180</v>
      </c>
      <c r="C27" s="4"/>
      <c r="D27" s="4"/>
      <c r="E27" s="4"/>
      <c r="F27" s="4"/>
      <c r="G27" s="4"/>
      <c r="H27" s="4">
        <v>43</v>
      </c>
      <c r="I27" s="10">
        <f t="shared" si="4"/>
        <v>43</v>
      </c>
    </row>
    <row r="28" spans="1:9" ht="18" customHeight="1">
      <c r="A28" s="6" t="s">
        <v>61</v>
      </c>
      <c r="B28" s="4">
        <v>1400</v>
      </c>
      <c r="C28" s="4"/>
      <c r="D28" s="4"/>
      <c r="E28" s="4"/>
      <c r="F28" s="4"/>
      <c r="G28" s="4"/>
      <c r="H28" s="4"/>
      <c r="I28" s="10">
        <f t="shared" si="4"/>
        <v>0</v>
      </c>
    </row>
    <row r="29" spans="1:9" ht="18" customHeight="1">
      <c r="A29" s="6" t="s">
        <v>267</v>
      </c>
      <c r="B29" s="4">
        <v>134</v>
      </c>
      <c r="C29" s="4">
        <v>2</v>
      </c>
      <c r="D29" s="4"/>
      <c r="E29" s="4">
        <v>1</v>
      </c>
      <c r="F29" s="4">
        <v>1</v>
      </c>
      <c r="G29" s="4"/>
      <c r="H29" s="4">
        <v>43</v>
      </c>
      <c r="I29" s="10">
        <f t="shared" si="4"/>
        <v>47</v>
      </c>
    </row>
    <row r="30" spans="1:9" ht="18" customHeight="1">
      <c r="A30" s="6" t="s">
        <v>268</v>
      </c>
      <c r="B30" s="4">
        <v>10</v>
      </c>
      <c r="C30" s="4"/>
      <c r="D30" s="4"/>
      <c r="E30" s="4"/>
      <c r="F30" s="4"/>
      <c r="G30" s="4"/>
      <c r="H30" s="4"/>
      <c r="I30" s="10">
        <f t="shared" si="4"/>
        <v>0</v>
      </c>
    </row>
    <row r="31" spans="1:9" ht="18" customHeight="1">
      <c r="A31" s="6" t="s">
        <v>269</v>
      </c>
      <c r="B31" s="4">
        <v>700</v>
      </c>
      <c r="C31" s="4"/>
      <c r="D31" s="4"/>
      <c r="E31" s="4"/>
      <c r="F31" s="4"/>
      <c r="G31" s="4"/>
      <c r="H31" s="4"/>
      <c r="I31" s="10">
        <f t="shared" si="4"/>
        <v>0</v>
      </c>
    </row>
    <row r="32" spans="1:9" ht="18" customHeight="1">
      <c r="A32" s="6" t="s">
        <v>270</v>
      </c>
      <c r="B32" s="4">
        <v>900</v>
      </c>
      <c r="C32" s="4">
        <v>90</v>
      </c>
      <c r="D32" s="4">
        <v>28</v>
      </c>
      <c r="E32" s="4">
        <v>129</v>
      </c>
      <c r="F32" s="4">
        <v>95</v>
      </c>
      <c r="G32" s="4">
        <v>13</v>
      </c>
      <c r="H32" s="4">
        <v>50</v>
      </c>
      <c r="I32" s="10">
        <f t="shared" si="4"/>
        <v>405</v>
      </c>
    </row>
    <row r="33" spans="1:9" ht="18" customHeight="1">
      <c r="A33" s="73" t="s">
        <v>318</v>
      </c>
      <c r="B33" s="4">
        <v>400</v>
      </c>
      <c r="D33" s="4"/>
      <c r="E33" s="4"/>
      <c r="F33" s="4"/>
      <c r="G33" s="4"/>
      <c r="H33" s="4"/>
      <c r="I33" s="10">
        <v>348</v>
      </c>
    </row>
    <row r="34" spans="1:9" ht="18" customHeight="1">
      <c r="A34" s="6" t="s">
        <v>271</v>
      </c>
      <c r="B34" s="4">
        <v>2000</v>
      </c>
      <c r="C34" s="4"/>
      <c r="D34" s="4"/>
      <c r="E34" s="4">
        <v>1000</v>
      </c>
      <c r="F34" s="4"/>
      <c r="G34" s="4"/>
      <c r="H34" s="4"/>
      <c r="I34" s="10">
        <f t="shared" si="4"/>
        <v>1000</v>
      </c>
    </row>
    <row r="35" spans="1:9" ht="18" customHeight="1">
      <c r="A35" s="6" t="s">
        <v>272</v>
      </c>
      <c r="B35" s="4">
        <v>1600</v>
      </c>
      <c r="C35" s="4"/>
      <c r="D35" s="4"/>
      <c r="E35" s="4">
        <v>300</v>
      </c>
      <c r="F35" s="4"/>
      <c r="G35" s="4"/>
      <c r="H35" s="4"/>
      <c r="I35" s="10">
        <f t="shared" si="4"/>
        <v>300</v>
      </c>
    </row>
    <row r="36" spans="1:9" ht="18" customHeight="1">
      <c r="A36" s="6" t="s">
        <v>273</v>
      </c>
      <c r="B36" s="4">
        <v>20</v>
      </c>
      <c r="C36" s="4"/>
      <c r="D36" s="4"/>
      <c r="E36" s="4">
        <v>423</v>
      </c>
      <c r="F36" s="4">
        <v>4</v>
      </c>
      <c r="G36" s="4">
        <v>31</v>
      </c>
      <c r="H36" s="4"/>
      <c r="I36" s="10">
        <f t="shared" si="4"/>
        <v>458</v>
      </c>
    </row>
    <row r="37" spans="1:9" ht="18" customHeight="1">
      <c r="A37" s="6" t="s">
        <v>274</v>
      </c>
      <c r="B37" s="4">
        <v>3496</v>
      </c>
      <c r="C37" s="4">
        <v>168</v>
      </c>
      <c r="D37" s="4">
        <v>188</v>
      </c>
      <c r="E37" s="4">
        <v>372</v>
      </c>
      <c r="F37" s="4">
        <v>122</v>
      </c>
      <c r="G37" s="4">
        <v>155</v>
      </c>
      <c r="H37" s="4">
        <v>143</v>
      </c>
      <c r="I37" s="10">
        <f t="shared" si="4"/>
        <v>1148</v>
      </c>
    </row>
    <row r="38" spans="1:9" ht="18" customHeight="1">
      <c r="A38" s="6" t="s">
        <v>275</v>
      </c>
      <c r="B38" s="4">
        <v>2331</v>
      </c>
      <c r="C38" s="4">
        <v>112</v>
      </c>
      <c r="D38" s="4">
        <v>126</v>
      </c>
      <c r="E38" s="4">
        <v>248</v>
      </c>
      <c r="F38" s="4">
        <v>98</v>
      </c>
      <c r="G38" s="4">
        <v>101</v>
      </c>
      <c r="H38" s="4">
        <v>97</v>
      </c>
      <c r="I38" s="10">
        <f t="shared" si="4"/>
        <v>782</v>
      </c>
    </row>
    <row r="39" spans="1:9" ht="18" customHeight="1">
      <c r="A39" s="6" t="s">
        <v>276</v>
      </c>
      <c r="B39" s="4">
        <v>60</v>
      </c>
      <c r="C39" s="4"/>
      <c r="D39" s="4"/>
      <c r="E39" s="4"/>
      <c r="F39" s="4"/>
      <c r="G39" s="4"/>
      <c r="H39" s="4"/>
      <c r="I39" s="10">
        <f t="shared" si="4"/>
        <v>0</v>
      </c>
    </row>
    <row r="40" spans="1:9" ht="18" customHeight="1">
      <c r="A40" s="6" t="s">
        <v>62</v>
      </c>
      <c r="B40" s="4">
        <v>8600</v>
      </c>
      <c r="C40" s="4">
        <v>199</v>
      </c>
      <c r="D40" s="4">
        <v>123</v>
      </c>
      <c r="E40" s="4">
        <v>771</v>
      </c>
      <c r="F40" s="4">
        <v>450</v>
      </c>
      <c r="G40" s="4">
        <v>368</v>
      </c>
      <c r="H40" s="4">
        <v>627</v>
      </c>
      <c r="I40" s="10">
        <f t="shared" si="4"/>
        <v>2538</v>
      </c>
    </row>
    <row r="41" spans="1:9" ht="18" customHeight="1">
      <c r="A41" s="6" t="s">
        <v>63</v>
      </c>
      <c r="B41" s="4">
        <v>5500</v>
      </c>
      <c r="C41" s="4">
        <v>774</v>
      </c>
      <c r="D41" s="4">
        <v>237</v>
      </c>
      <c r="E41" s="4">
        <v>286</v>
      </c>
      <c r="F41" s="4">
        <v>307</v>
      </c>
      <c r="G41" s="4">
        <v>380</v>
      </c>
      <c r="H41" s="4">
        <v>624</v>
      </c>
      <c r="I41" s="10">
        <f t="shared" si="4"/>
        <v>2608</v>
      </c>
    </row>
    <row r="42" spans="1:9" ht="18" customHeight="1">
      <c r="A42" s="6" t="s">
        <v>277</v>
      </c>
      <c r="B42" s="4">
        <v>163</v>
      </c>
      <c r="C42" s="4"/>
      <c r="D42" s="4"/>
      <c r="E42" s="4"/>
      <c r="F42" s="4"/>
      <c r="G42" s="4"/>
      <c r="H42" s="4"/>
      <c r="I42" s="10">
        <f t="shared" si="4"/>
        <v>0</v>
      </c>
    </row>
    <row r="43" spans="1:9" ht="18" customHeight="1">
      <c r="A43" s="6" t="s">
        <v>278</v>
      </c>
      <c r="B43" s="4">
        <v>13</v>
      </c>
      <c r="C43" s="4"/>
      <c r="D43" s="4"/>
      <c r="E43" s="4"/>
      <c r="F43" s="4"/>
      <c r="G43" s="4"/>
      <c r="H43" s="4"/>
      <c r="I43" s="10">
        <f t="shared" si="4"/>
        <v>0</v>
      </c>
    </row>
    <row r="44" spans="1:9" ht="18" customHeight="1">
      <c r="A44" s="6" t="s">
        <v>279</v>
      </c>
      <c r="B44" s="4">
        <v>150</v>
      </c>
      <c r="C44" s="4"/>
      <c r="D44" s="4"/>
      <c r="E44" s="4"/>
      <c r="F44" s="4"/>
      <c r="G44" s="4"/>
      <c r="H44" s="4"/>
      <c r="I44" s="10">
        <f t="shared" si="4"/>
        <v>0</v>
      </c>
    </row>
    <row r="45" spans="1:9" ht="31.5" customHeight="1">
      <c r="A45" s="68" t="s">
        <v>284</v>
      </c>
      <c r="B45" s="4">
        <f>SUM(B46:B48)</f>
        <v>5050</v>
      </c>
      <c r="C45" s="4">
        <v>40</v>
      </c>
      <c r="D45" s="4">
        <v>587</v>
      </c>
      <c r="E45" s="4">
        <v>163</v>
      </c>
      <c r="F45" s="4">
        <v>316</v>
      </c>
      <c r="G45" s="4">
        <v>250</v>
      </c>
      <c r="H45" s="4">
        <v>33044</v>
      </c>
      <c r="I45" s="10">
        <f t="shared" si="4"/>
        <v>34400</v>
      </c>
    </row>
    <row r="46" spans="1:9" ht="18" customHeight="1">
      <c r="A46" s="6" t="s">
        <v>87</v>
      </c>
      <c r="B46" s="4">
        <v>50</v>
      </c>
      <c r="C46" s="4"/>
      <c r="D46" s="4"/>
      <c r="E46" s="4">
        <v>25</v>
      </c>
      <c r="F46" s="4">
        <v>44</v>
      </c>
      <c r="G46" s="4"/>
      <c r="H46" s="4">
        <v>14</v>
      </c>
      <c r="I46" s="10">
        <f t="shared" si="4"/>
        <v>83</v>
      </c>
    </row>
    <row r="47" spans="1:9" ht="18" customHeight="1">
      <c r="A47" s="6" t="s">
        <v>283</v>
      </c>
      <c r="B47" s="4"/>
      <c r="C47" s="4"/>
      <c r="D47" s="4"/>
      <c r="E47" s="4"/>
      <c r="F47" s="4">
        <v>126</v>
      </c>
      <c r="G47" s="4"/>
      <c r="H47" s="4"/>
      <c r="I47" s="10">
        <f t="shared" si="4"/>
        <v>126</v>
      </c>
    </row>
    <row r="48" spans="1:9" ht="27.75" customHeight="1">
      <c r="A48" s="11" t="s">
        <v>88</v>
      </c>
      <c r="B48" s="4">
        <v>5000</v>
      </c>
      <c r="C48" s="4">
        <v>40</v>
      </c>
      <c r="D48" s="4">
        <v>587</v>
      </c>
      <c r="E48" s="4">
        <v>137</v>
      </c>
      <c r="F48" s="4">
        <v>146</v>
      </c>
      <c r="G48" s="4">
        <v>250</v>
      </c>
      <c r="H48" s="4">
        <v>33030</v>
      </c>
      <c r="I48" s="10">
        <f t="shared" si="4"/>
        <v>34190</v>
      </c>
    </row>
    <row r="49" spans="1:9" ht="18" customHeight="1">
      <c r="A49" s="11" t="s">
        <v>282</v>
      </c>
      <c r="B49" s="4"/>
      <c r="C49" s="4"/>
      <c r="D49" s="4"/>
      <c r="E49" s="4"/>
      <c r="F49" s="4">
        <v>9</v>
      </c>
      <c r="G49" s="4"/>
      <c r="H49" s="4"/>
      <c r="I49" s="10">
        <f t="shared" si="4"/>
        <v>9</v>
      </c>
    </row>
    <row r="50" spans="1:9" ht="18" customHeight="1">
      <c r="A50" s="6" t="s">
        <v>281</v>
      </c>
      <c r="B50" s="4">
        <v>33643</v>
      </c>
      <c r="C50" s="4">
        <v>1832</v>
      </c>
      <c r="D50" s="4">
        <v>901</v>
      </c>
      <c r="E50" s="4">
        <v>18474</v>
      </c>
      <c r="F50" s="4">
        <v>905</v>
      </c>
      <c r="G50" s="4">
        <v>1024</v>
      </c>
      <c r="H50" s="4">
        <v>4787</v>
      </c>
      <c r="I50" s="10">
        <f t="shared" si="4"/>
        <v>27923</v>
      </c>
    </row>
    <row r="51" spans="1:9" ht="18" customHeight="1">
      <c r="A51" s="2" t="s">
        <v>64</v>
      </c>
      <c r="B51" s="3">
        <f aca="true" t="shared" si="5" ref="B51:H51">B24+B4</f>
        <v>176579</v>
      </c>
      <c r="C51" s="3">
        <f t="shared" si="5"/>
        <v>7786</v>
      </c>
      <c r="D51" s="3">
        <f t="shared" si="5"/>
        <v>5083</v>
      </c>
      <c r="E51" s="3">
        <f t="shared" si="5"/>
        <v>33879</v>
      </c>
      <c r="F51" s="3">
        <f t="shared" si="5"/>
        <v>7097</v>
      </c>
      <c r="G51" s="3">
        <f t="shared" si="5"/>
        <v>4887</v>
      </c>
      <c r="H51" s="3">
        <f t="shared" si="5"/>
        <v>49980</v>
      </c>
      <c r="I51" s="3">
        <f>SUM(C51:H51)-1</f>
        <v>108711</v>
      </c>
    </row>
    <row r="52" spans="1:9" ht="18" customHeight="1">
      <c r="A52" s="2" t="s">
        <v>65</v>
      </c>
      <c r="B52" s="3">
        <f>SUM(B53:B57)</f>
        <v>71589</v>
      </c>
      <c r="C52" s="3">
        <f aca="true" t="shared" si="6" ref="C52:H52">SUM(C53:C57)</f>
        <v>1508</v>
      </c>
      <c r="D52" s="3">
        <f t="shared" si="6"/>
        <v>2180</v>
      </c>
      <c r="E52" s="3">
        <f t="shared" si="6"/>
        <v>10981</v>
      </c>
      <c r="F52" s="3">
        <f t="shared" si="6"/>
        <v>2158</v>
      </c>
      <c r="G52" s="3">
        <f t="shared" si="6"/>
        <v>1573</v>
      </c>
      <c r="H52" s="3">
        <f t="shared" si="6"/>
        <v>6445</v>
      </c>
      <c r="I52" s="3">
        <f aca="true" t="shared" si="7" ref="I52:I57">SUM(C52:H52)</f>
        <v>24845</v>
      </c>
    </row>
    <row r="53" spans="1:9" ht="18" customHeight="1">
      <c r="A53" s="6" t="s">
        <v>361</v>
      </c>
      <c r="B53" s="4">
        <f aca="true" t="shared" si="8" ref="B53:G53">ROUND(B5/0.1875*0.75,0)</f>
        <v>52000</v>
      </c>
      <c r="C53" s="4">
        <f t="shared" si="8"/>
        <v>740</v>
      </c>
      <c r="D53" s="4">
        <f t="shared" si="8"/>
        <v>1580</v>
      </c>
      <c r="E53" s="4">
        <f>ROUND(E5/0.1875*0.75,0)-1</f>
        <v>7619</v>
      </c>
      <c r="F53" s="4">
        <f t="shared" si="8"/>
        <v>452</v>
      </c>
      <c r="G53" s="4">
        <f t="shared" si="8"/>
        <v>1156</v>
      </c>
      <c r="H53" s="4">
        <f>ROUND(2606/0.375*0.5,0)</f>
        <v>3475</v>
      </c>
      <c r="I53" s="10">
        <f t="shared" si="7"/>
        <v>15022</v>
      </c>
    </row>
    <row r="54" spans="1:9" ht="18" customHeight="1">
      <c r="A54" s="6" t="s">
        <v>66</v>
      </c>
      <c r="B54" s="4">
        <v>614</v>
      </c>
      <c r="C54" s="4">
        <v>1</v>
      </c>
      <c r="D54" s="4">
        <v>2</v>
      </c>
      <c r="E54" s="4"/>
      <c r="F54" s="4">
        <v>7</v>
      </c>
      <c r="G54" s="4">
        <v>8</v>
      </c>
      <c r="H54" s="4">
        <v>12</v>
      </c>
      <c r="I54" s="10">
        <f t="shared" si="7"/>
        <v>30</v>
      </c>
    </row>
    <row r="55" spans="1:9" ht="18" customHeight="1">
      <c r="A55" s="6" t="s">
        <v>67</v>
      </c>
      <c r="B55" s="4">
        <f>ROUND(B8/0.28*0.6,0)</f>
        <v>13061</v>
      </c>
      <c r="C55" s="4">
        <f>ROUND(C8/0.28*0.6,0)</f>
        <v>373</v>
      </c>
      <c r="D55" s="4">
        <f>ROUND(D8/0.28*0.6,0)</f>
        <v>240</v>
      </c>
      <c r="E55" s="4">
        <f>ROUND(E8/0.28*0.6,0)</f>
        <v>2023</v>
      </c>
      <c r="F55" s="4">
        <f>ROUND(F8/0.28*0.6,0)</f>
        <v>1397</v>
      </c>
      <c r="G55" s="4">
        <v>217</v>
      </c>
      <c r="H55" s="4">
        <f>ROUND(H8/0.28*0.6,0)</f>
        <v>2439</v>
      </c>
      <c r="I55" s="10">
        <f t="shared" si="7"/>
        <v>6689</v>
      </c>
    </row>
    <row r="56" spans="1:9" ht="18" customHeight="1">
      <c r="A56" s="6" t="s">
        <v>68</v>
      </c>
      <c r="B56" s="4">
        <f>ROUND(B11/0.28*0.6,0)</f>
        <v>5914</v>
      </c>
      <c r="C56" s="4">
        <f>ROUND(C11/0.28*0.6,0)</f>
        <v>394</v>
      </c>
      <c r="D56" s="4">
        <f>ROUND(D11/0.28*0.6,0)</f>
        <v>358</v>
      </c>
      <c r="E56" s="4">
        <f>ROUND(E11/0.28*0.6,0)</f>
        <v>1339</v>
      </c>
      <c r="F56" s="4">
        <v>302</v>
      </c>
      <c r="G56" s="4">
        <v>192</v>
      </c>
      <c r="H56" s="4">
        <f>ROUND(H11/0.28*0.6,0)</f>
        <v>268</v>
      </c>
      <c r="I56" s="10">
        <f t="shared" si="7"/>
        <v>2853</v>
      </c>
    </row>
    <row r="57" spans="1:9" ht="18" customHeight="1">
      <c r="A57" s="67" t="s">
        <v>285</v>
      </c>
      <c r="B57" s="4"/>
      <c r="C57" s="4"/>
      <c r="D57" s="4"/>
      <c r="E57" s="4"/>
      <c r="F57" s="4"/>
      <c r="G57" s="4"/>
      <c r="H57" s="4">
        <v>251</v>
      </c>
      <c r="I57" s="10">
        <f t="shared" si="7"/>
        <v>251</v>
      </c>
    </row>
    <row r="58" spans="1:9" ht="18" customHeight="1">
      <c r="A58" s="2" t="s">
        <v>69</v>
      </c>
      <c r="B58" s="3">
        <f>SUM(B59:B65)</f>
        <v>21432</v>
      </c>
      <c r="C58" s="3">
        <f aca="true" t="shared" si="9" ref="C58:H58">SUM(C59:C65)</f>
        <v>774</v>
      </c>
      <c r="D58" s="3">
        <f t="shared" si="9"/>
        <v>679</v>
      </c>
      <c r="E58" s="3">
        <f t="shared" si="9"/>
        <v>3265</v>
      </c>
      <c r="F58" s="3">
        <f t="shared" si="9"/>
        <v>963</v>
      </c>
      <c r="G58" s="3">
        <f t="shared" si="9"/>
        <v>507</v>
      </c>
      <c r="H58" s="3">
        <f t="shared" si="9"/>
        <v>1826</v>
      </c>
      <c r="I58" s="3">
        <f>SUM(C58:H58)-1</f>
        <v>8013</v>
      </c>
    </row>
    <row r="59" spans="1:9" ht="18" customHeight="1">
      <c r="A59" s="6" t="s">
        <v>362</v>
      </c>
      <c r="B59" s="4">
        <f>ROUND(B5/0.1875*0.0625,0)</f>
        <v>4333</v>
      </c>
      <c r="C59" s="4">
        <v>62</v>
      </c>
      <c r="D59" s="4">
        <f>ROUND(D5/0.1875*0.0625,0)-1</f>
        <v>131</v>
      </c>
      <c r="E59" s="4">
        <f>ROUND(E5/0.1875*0.0625,0)</f>
        <v>635</v>
      </c>
      <c r="F59" s="4">
        <f>ROUND(F5/0.1875*0.0625,0)</f>
        <v>38</v>
      </c>
      <c r="G59" s="4">
        <f>ROUND(G5/0.1875*0.0625,0)</f>
        <v>96</v>
      </c>
      <c r="H59" s="4">
        <f>ROUND(H5/0.1875*0.0625,0)</f>
        <v>676</v>
      </c>
      <c r="I59" s="10">
        <f>SUM(C59:H59)</f>
        <v>1638</v>
      </c>
    </row>
    <row r="60" spans="1:9" ht="18" customHeight="1">
      <c r="A60" s="47" t="s">
        <v>363</v>
      </c>
      <c r="B60" s="4">
        <f aca="true" t="shared" si="10" ref="B60:H61">ROUND(B6/0.75*0.25,0)</f>
        <v>2067</v>
      </c>
      <c r="C60" s="4">
        <f t="shared" si="10"/>
        <v>54</v>
      </c>
      <c r="D60" s="4">
        <f t="shared" si="10"/>
        <v>41</v>
      </c>
      <c r="E60" s="4">
        <f t="shared" si="10"/>
        <v>38</v>
      </c>
      <c r="F60" s="4">
        <f t="shared" si="10"/>
        <v>35</v>
      </c>
      <c r="G60" s="4">
        <f t="shared" si="10"/>
        <v>76</v>
      </c>
      <c r="H60" s="4">
        <f t="shared" si="10"/>
        <v>193</v>
      </c>
      <c r="I60" s="10">
        <f>SUM(C60:H60)</f>
        <v>437</v>
      </c>
    </row>
    <row r="61" spans="1:9" ht="18" customHeight="1">
      <c r="A61" s="6" t="s">
        <v>364</v>
      </c>
      <c r="B61" s="4">
        <f t="shared" si="10"/>
        <v>9583</v>
      </c>
      <c r="C61" s="4">
        <f t="shared" si="10"/>
        <v>468</v>
      </c>
      <c r="D61" s="4">
        <f t="shared" si="10"/>
        <v>383</v>
      </c>
      <c r="E61" s="4">
        <f t="shared" si="10"/>
        <v>1722</v>
      </c>
      <c r="F61" s="4">
        <f t="shared" si="10"/>
        <v>513</v>
      </c>
      <c r="G61" s="4">
        <f t="shared" si="10"/>
        <v>223</v>
      </c>
      <c r="H61" s="4">
        <f t="shared" si="10"/>
        <v>63</v>
      </c>
      <c r="I61" s="10">
        <f>SUM(C61:H61)+1</f>
        <v>3373</v>
      </c>
    </row>
    <row r="62" spans="1:9" ht="18" customHeight="1">
      <c r="A62" s="6" t="s">
        <v>70</v>
      </c>
      <c r="B62" s="4">
        <f aca="true" t="shared" si="11" ref="B62:H62">ROUND(B8/0.28*0.12,0)</f>
        <v>2612</v>
      </c>
      <c r="C62" s="4">
        <f t="shared" si="11"/>
        <v>75</v>
      </c>
      <c r="D62" s="4">
        <f t="shared" si="11"/>
        <v>48</v>
      </c>
      <c r="E62" s="4">
        <f t="shared" si="11"/>
        <v>405</v>
      </c>
      <c r="F62" s="4">
        <f t="shared" si="11"/>
        <v>279</v>
      </c>
      <c r="G62" s="4">
        <f t="shared" si="11"/>
        <v>43</v>
      </c>
      <c r="H62" s="4">
        <f t="shared" si="11"/>
        <v>488</v>
      </c>
      <c r="I62" s="10">
        <f>SUM(C62:H62)</f>
        <v>1338</v>
      </c>
    </row>
    <row r="63" spans="1:9" ht="18" customHeight="1">
      <c r="A63" s="6" t="s">
        <v>71</v>
      </c>
      <c r="B63" s="4">
        <f>ROUND(B11/0.28*0.12,0)</f>
        <v>1183</v>
      </c>
      <c r="C63" s="4">
        <f>ROUND(C11/0.28*0.12,0)</f>
        <v>79</v>
      </c>
      <c r="D63" s="4">
        <f>ROUND(D11/0.28*0.12,0)</f>
        <v>72</v>
      </c>
      <c r="E63" s="4">
        <f>ROUND(E11/0.28*0.12,0)</f>
        <v>268</v>
      </c>
      <c r="F63" s="4">
        <f>ROUND(F11/0.28*0.12,0)+1</f>
        <v>62</v>
      </c>
      <c r="G63" s="4">
        <v>38</v>
      </c>
      <c r="H63" s="4">
        <f>ROUND(H11/0.28*0.12,0)</f>
        <v>54</v>
      </c>
      <c r="I63" s="10">
        <f>SUM(C63:H63)-2</f>
        <v>571</v>
      </c>
    </row>
    <row r="64" spans="1:9" ht="18" customHeight="1">
      <c r="A64" s="6" t="s">
        <v>72</v>
      </c>
      <c r="B64" s="4">
        <f aca="true" t="shared" si="12" ref="B64:H64">ROUND(B14/0.75*0.25,0)</f>
        <v>767</v>
      </c>
      <c r="C64" s="4">
        <f t="shared" si="12"/>
        <v>17</v>
      </c>
      <c r="D64" s="4">
        <f t="shared" si="12"/>
        <v>4</v>
      </c>
      <c r="E64" s="4">
        <f t="shared" si="12"/>
        <v>68</v>
      </c>
      <c r="F64" s="4">
        <f t="shared" si="12"/>
        <v>18</v>
      </c>
      <c r="G64" s="4">
        <f t="shared" si="12"/>
        <v>27</v>
      </c>
      <c r="H64" s="4">
        <f t="shared" si="12"/>
        <v>112</v>
      </c>
      <c r="I64" s="10">
        <f>SUM(C64:H64)</f>
        <v>246</v>
      </c>
    </row>
    <row r="65" spans="1:9" ht="18" customHeight="1">
      <c r="A65" s="6" t="s">
        <v>73</v>
      </c>
      <c r="B65" s="4">
        <f aca="true" t="shared" si="13" ref="B65:H65">ROUND(B18/0.7*0.3,0)</f>
        <v>887</v>
      </c>
      <c r="C65" s="4">
        <f t="shared" si="13"/>
        <v>19</v>
      </c>
      <c r="D65" s="4">
        <f t="shared" si="13"/>
        <v>0</v>
      </c>
      <c r="E65" s="4">
        <f t="shared" si="13"/>
        <v>129</v>
      </c>
      <c r="F65" s="4">
        <f t="shared" si="13"/>
        <v>18</v>
      </c>
      <c r="G65" s="4">
        <f t="shared" si="13"/>
        <v>4</v>
      </c>
      <c r="H65" s="4">
        <f t="shared" si="13"/>
        <v>240</v>
      </c>
      <c r="I65" s="10">
        <f>SUM(C65:H65)</f>
        <v>410</v>
      </c>
    </row>
    <row r="66" spans="1:9" ht="18" customHeight="1">
      <c r="A66" s="2" t="s">
        <v>74</v>
      </c>
      <c r="B66" s="3">
        <f>B58+B52+B51</f>
        <v>269600</v>
      </c>
      <c r="C66" s="3">
        <f aca="true" t="shared" si="14" ref="C66:H66">C58+C52+C51</f>
        <v>10068</v>
      </c>
      <c r="D66" s="3">
        <f>D58+D52+D51+1</f>
        <v>7943</v>
      </c>
      <c r="E66" s="3">
        <f t="shared" si="14"/>
        <v>48125</v>
      </c>
      <c r="F66" s="3">
        <f t="shared" si="14"/>
        <v>10218</v>
      </c>
      <c r="G66" s="3">
        <f t="shared" si="14"/>
        <v>6967</v>
      </c>
      <c r="H66" s="3">
        <f t="shared" si="14"/>
        <v>58251</v>
      </c>
      <c r="I66" s="3">
        <f>SUM(C66:H66)-3</f>
        <v>141569</v>
      </c>
    </row>
    <row r="67" spans="1:10" ht="18" customHeight="1">
      <c r="A67" s="6" t="s">
        <v>75</v>
      </c>
      <c r="B67" s="4">
        <f aca="true" t="shared" si="15" ref="B67:I67">B66-B24</f>
        <v>203313</v>
      </c>
      <c r="C67" s="4">
        <f t="shared" si="15"/>
        <v>6830</v>
      </c>
      <c r="D67" s="4">
        <f t="shared" si="15"/>
        <v>5753</v>
      </c>
      <c r="E67" s="4">
        <f t="shared" si="15"/>
        <v>25943</v>
      </c>
      <c r="F67" s="4">
        <f t="shared" si="15"/>
        <v>7911</v>
      </c>
      <c r="G67" s="4">
        <f t="shared" si="15"/>
        <v>4588</v>
      </c>
      <c r="H67" s="4">
        <f t="shared" si="15"/>
        <v>18699</v>
      </c>
      <c r="I67" s="4">
        <f t="shared" si="15"/>
        <v>69721</v>
      </c>
      <c r="J67" s="18"/>
    </row>
    <row r="68" spans="1:9" ht="18" customHeight="1">
      <c r="A68" s="6" t="s">
        <v>76</v>
      </c>
      <c r="B68" s="5">
        <f>ROUND(B67/B66,4)</f>
        <v>0.7541</v>
      </c>
      <c r="C68" s="5">
        <f aca="true" t="shared" si="16" ref="C68:H68">ROUND(C67/C66,4)</f>
        <v>0.6784</v>
      </c>
      <c r="D68" s="5">
        <f t="shared" si="16"/>
        <v>0.7243</v>
      </c>
      <c r="E68" s="5">
        <f t="shared" si="16"/>
        <v>0.5391</v>
      </c>
      <c r="F68" s="5">
        <f t="shared" si="16"/>
        <v>0.7742</v>
      </c>
      <c r="G68" s="5">
        <f t="shared" si="16"/>
        <v>0.6585</v>
      </c>
      <c r="H68" s="5">
        <f t="shared" si="16"/>
        <v>0.321</v>
      </c>
      <c r="I68" s="5">
        <f>ROUND(I67/I66,4)</f>
        <v>0.4925</v>
      </c>
    </row>
    <row r="69" spans="1:9" ht="18" customHeight="1">
      <c r="A69" s="49" t="s">
        <v>26</v>
      </c>
      <c r="B69" s="48">
        <f>269600/12</f>
        <v>22466.666666666668</v>
      </c>
      <c r="C69" s="48">
        <f aca="true" t="shared" si="17" ref="C69:H69">C66-22467</f>
        <v>-12399</v>
      </c>
      <c r="D69" s="48">
        <f t="shared" si="17"/>
        <v>-14524</v>
      </c>
      <c r="E69" s="48">
        <f t="shared" si="17"/>
        <v>25658</v>
      </c>
      <c r="F69" s="48">
        <f t="shared" si="17"/>
        <v>-12249</v>
      </c>
      <c r="G69" s="48">
        <f t="shared" si="17"/>
        <v>-15500</v>
      </c>
      <c r="H69" s="48">
        <f t="shared" si="17"/>
        <v>35784</v>
      </c>
      <c r="I69" s="48">
        <f>I66-B66/2</f>
        <v>6769</v>
      </c>
    </row>
    <row r="70" spans="1:9" ht="18" customHeight="1">
      <c r="A70" s="8" t="s">
        <v>77</v>
      </c>
      <c r="B70" s="3">
        <f>ROUND((B5+B6+B9/0.28+B12/0.28+B59+B60+B53+B54),0)</f>
        <v>93000</v>
      </c>
      <c r="C70" s="3">
        <f>ROUND((C5+C6+C9/0.28+C12/0.28+C59+C60+C53+C54),0)-1</f>
        <v>1502</v>
      </c>
      <c r="D70" s="3">
        <f>ROUND((D5+D6+D9/0.28+D12/0.28+D59+D60+D53+D54),0)+1</f>
        <v>2274</v>
      </c>
      <c r="E70" s="3">
        <f>ROUND((E5+E6+E9/0.28+E12/0.28+E59+E60+E53+E54),0)+1</f>
        <v>11512</v>
      </c>
      <c r="F70" s="3">
        <f>ROUND((F5+F6+F9/0.28+F12/0.28+F59+F60+F53+F54),0)-1</f>
        <v>2261</v>
      </c>
      <c r="G70" s="3">
        <f>ROUND((G5+G6+G9/0.28+G12/0.28+G59+G60+G53+G54),0)-1</f>
        <v>2015</v>
      </c>
      <c r="H70" s="3">
        <v>10267</v>
      </c>
      <c r="I70" s="3">
        <f>SUM(C70:H70)</f>
        <v>29831</v>
      </c>
    </row>
    <row r="71" spans="1:9" ht="18" customHeight="1">
      <c r="A71" s="8" t="s">
        <v>78</v>
      </c>
      <c r="B71" s="3">
        <f aca="true" t="shared" si="18" ref="B71:G71">ROUND((B7+B10/0.28+B13/0.28+SUM(B14:B23)+B61+B64+B65+B37+B38+B39+B33),0)</f>
        <v>116600</v>
      </c>
      <c r="C71" s="3">
        <f t="shared" si="18"/>
        <v>5603</v>
      </c>
      <c r="D71" s="3">
        <f t="shared" si="18"/>
        <v>3792</v>
      </c>
      <c r="E71" s="3">
        <f t="shared" si="18"/>
        <v>15052</v>
      </c>
      <c r="F71" s="3">
        <f t="shared" si="18"/>
        <v>5871</v>
      </c>
      <c r="G71" s="3">
        <f t="shared" si="18"/>
        <v>2830</v>
      </c>
      <c r="H71" s="3">
        <v>9064</v>
      </c>
      <c r="I71" s="3">
        <f>SUM(C71:H71)+3</f>
        <v>42215</v>
      </c>
    </row>
    <row r="72" spans="1:9" ht="18" customHeight="1">
      <c r="A72" s="8" t="s">
        <v>79</v>
      </c>
      <c r="B72" s="3">
        <f aca="true" t="shared" si="19" ref="B72:H72">B66-B70-B71</f>
        <v>60000</v>
      </c>
      <c r="C72" s="3">
        <f t="shared" si="19"/>
        <v>2963</v>
      </c>
      <c r="D72" s="3">
        <f t="shared" si="19"/>
        <v>1877</v>
      </c>
      <c r="E72" s="3">
        <f t="shared" si="19"/>
        <v>21561</v>
      </c>
      <c r="F72" s="3">
        <f t="shared" si="19"/>
        <v>2086</v>
      </c>
      <c r="G72" s="3">
        <f t="shared" si="19"/>
        <v>2122</v>
      </c>
      <c r="H72" s="3">
        <f t="shared" si="19"/>
        <v>38920</v>
      </c>
      <c r="I72" s="3">
        <f>SUM(C72:H72)-6</f>
        <v>69523</v>
      </c>
    </row>
    <row r="73" spans="1:9" s="45" customFormat="1" ht="18" customHeight="1">
      <c r="A73" s="138" t="s">
        <v>366</v>
      </c>
      <c r="B73" s="138"/>
      <c r="C73" s="138"/>
      <c r="D73" s="138"/>
      <c r="E73" s="138"/>
      <c r="F73" s="138"/>
      <c r="G73" s="138"/>
      <c r="H73" s="138"/>
      <c r="I73" s="138"/>
    </row>
  </sheetData>
  <sheetProtection/>
  <mergeCells count="2">
    <mergeCell ref="A1:I1"/>
    <mergeCell ref="A73:I73"/>
  </mergeCells>
  <printOptions horizontalCentered="1"/>
  <pageMargins left="0.15" right="0.14" top="0.5905511811023623" bottom="0.78" header="0.3149606299212598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29.375" style="0" customWidth="1"/>
    <col min="2" max="9" width="9.75390625" style="0" customWidth="1"/>
    <col min="10" max="10" width="9.625" style="0" bestFit="1" customWidth="1"/>
    <col min="11" max="11" width="17.25390625" style="0" customWidth="1"/>
    <col min="13" max="13" width="10.00390625" style="0" customWidth="1"/>
    <col min="14" max="14" width="12.75390625" style="0" bestFit="1" customWidth="1"/>
  </cols>
  <sheetData>
    <row r="1" spans="1:11" ht="39.75" customHeight="1">
      <c r="A1" s="137" t="s">
        <v>287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ht="17.25" customHeight="1">
      <c r="K2" s="42" t="s">
        <v>86</v>
      </c>
    </row>
    <row r="3" spans="1:11" ht="16.5" customHeight="1">
      <c r="A3" s="139"/>
      <c r="B3" s="144" t="s">
        <v>20</v>
      </c>
      <c r="C3" s="144"/>
      <c r="D3" s="144"/>
      <c r="E3" s="145" t="s">
        <v>226</v>
      </c>
      <c r="F3" s="146"/>
      <c r="G3" s="147"/>
      <c r="H3" s="144" t="s">
        <v>227</v>
      </c>
      <c r="I3" s="144"/>
      <c r="J3" s="144"/>
      <c r="K3" s="139" t="s">
        <v>23</v>
      </c>
    </row>
    <row r="4" spans="1:11" ht="16.5" customHeight="1">
      <c r="A4" s="140"/>
      <c r="B4" s="69" t="s">
        <v>289</v>
      </c>
      <c r="C4" s="69" t="s">
        <v>288</v>
      </c>
      <c r="D4" s="39" t="s">
        <v>95</v>
      </c>
      <c r="E4" s="69" t="s">
        <v>289</v>
      </c>
      <c r="F4" s="69" t="s">
        <v>288</v>
      </c>
      <c r="G4" s="39" t="s">
        <v>95</v>
      </c>
      <c r="H4" s="69" t="s">
        <v>289</v>
      </c>
      <c r="I4" s="69" t="s">
        <v>288</v>
      </c>
      <c r="J4" s="39" t="s">
        <v>95</v>
      </c>
      <c r="K4" s="140"/>
    </row>
    <row r="5" spans="1:11" ht="16.5" customHeight="1">
      <c r="A5" s="39" t="s">
        <v>20</v>
      </c>
      <c r="B5" s="40">
        <f>E5+H5</f>
        <v>70374</v>
      </c>
      <c r="C5" s="40">
        <f>F5+I5</f>
        <v>91525</v>
      </c>
      <c r="D5" s="14">
        <f>(B5-C5)/C5</f>
        <v>-0.23109532914504233</v>
      </c>
      <c r="E5" s="40">
        <f>SUM(E6:E7,E13)</f>
        <v>30423</v>
      </c>
      <c r="F5" s="40">
        <f>SUM(F6:F7,F13)</f>
        <v>42236</v>
      </c>
      <c r="G5" s="14">
        <f>(E5-F5)/F5</f>
        <v>-0.2796903115825362</v>
      </c>
      <c r="H5" s="40">
        <f>SUM(H6:H7,H13)</f>
        <v>39951</v>
      </c>
      <c r="I5" s="40">
        <f>SUM(I6:I7,I13)</f>
        <v>49289</v>
      </c>
      <c r="J5" s="14">
        <f>(H5-I5)/I5</f>
        <v>-0.1894540363975735</v>
      </c>
      <c r="K5" s="141" t="s">
        <v>357</v>
      </c>
    </row>
    <row r="6" spans="1:15" ht="16.5" customHeight="1">
      <c r="A6" s="34" t="s">
        <v>223</v>
      </c>
      <c r="B6" s="40">
        <f>E6+H6</f>
        <v>6</v>
      </c>
      <c r="C6" s="40">
        <f aca="true" t="shared" si="0" ref="C6:C28">F6+I6</f>
        <v>620</v>
      </c>
      <c r="D6" s="14">
        <f aca="true" t="shared" si="1" ref="D6:D28">(B6-C6)/C6</f>
        <v>-0.9903225806451613</v>
      </c>
      <c r="E6" s="40">
        <v>2</v>
      </c>
      <c r="F6" s="40">
        <f>5-1</f>
        <v>4</v>
      </c>
      <c r="G6" s="14"/>
      <c r="H6" s="41">
        <v>4</v>
      </c>
      <c r="I6" s="40">
        <v>616</v>
      </c>
      <c r="J6" s="14">
        <f aca="true" t="shared" si="2" ref="J6:J28">(H6-I6)/I6</f>
        <v>-0.9935064935064936</v>
      </c>
      <c r="K6" s="142"/>
      <c r="M6" s="38"/>
      <c r="N6" s="38"/>
      <c r="O6" s="43"/>
    </row>
    <row r="7" spans="1:15" ht="16.5" customHeight="1">
      <c r="A7" s="34" t="s">
        <v>224</v>
      </c>
      <c r="B7" s="40">
        <f aca="true" t="shared" si="3" ref="B7:B28">E7+H7</f>
        <v>30609</v>
      </c>
      <c r="C7" s="40">
        <f t="shared" si="0"/>
        <v>48061</v>
      </c>
      <c r="D7" s="14">
        <f t="shared" si="1"/>
        <v>-0.36312186596200663</v>
      </c>
      <c r="E7" s="40">
        <v>15429</v>
      </c>
      <c r="F7" s="40">
        <f>29195-6</f>
        <v>29189</v>
      </c>
      <c r="G7" s="14">
        <f aca="true" t="shared" si="4" ref="G7:G28">(E7-F7)/F7</f>
        <v>-0.4714104628455925</v>
      </c>
      <c r="H7" s="40">
        <v>15180</v>
      </c>
      <c r="I7" s="40">
        <v>18872</v>
      </c>
      <c r="J7" s="14">
        <f t="shared" si="2"/>
        <v>-0.19563374311148793</v>
      </c>
      <c r="K7" s="142"/>
      <c r="L7" s="20"/>
      <c r="M7" s="38"/>
      <c r="N7" s="38"/>
      <c r="O7" s="132"/>
    </row>
    <row r="8" spans="1:15" ht="16.5" customHeight="1">
      <c r="A8" s="34" t="s">
        <v>2</v>
      </c>
      <c r="B8" s="40">
        <f t="shared" si="3"/>
        <v>5597</v>
      </c>
      <c r="C8" s="40">
        <f t="shared" si="0"/>
        <v>13158</v>
      </c>
      <c r="D8" s="14">
        <f t="shared" si="1"/>
        <v>-0.5746314029487765</v>
      </c>
      <c r="E8" s="40">
        <v>4602</v>
      </c>
      <c r="F8" s="40">
        <f>10318-3</f>
        <v>10315</v>
      </c>
      <c r="G8" s="14">
        <f t="shared" si="4"/>
        <v>-0.5538536112457586</v>
      </c>
      <c r="H8" s="40">
        <v>995</v>
      </c>
      <c r="I8" s="40">
        <v>2843</v>
      </c>
      <c r="J8" s="14">
        <f t="shared" si="2"/>
        <v>-0.6500175870559268</v>
      </c>
      <c r="K8" s="142"/>
      <c r="L8" s="20"/>
      <c r="M8" s="20"/>
      <c r="N8" s="20"/>
      <c r="O8" s="20"/>
    </row>
    <row r="9" spans="1:15" ht="16.5" customHeight="1">
      <c r="A9" s="34" t="s">
        <v>21</v>
      </c>
      <c r="B9" s="65">
        <f t="shared" si="3"/>
        <v>5366</v>
      </c>
      <c r="C9" s="40">
        <f t="shared" si="0"/>
        <v>12530</v>
      </c>
      <c r="D9" s="14">
        <f t="shared" si="1"/>
        <v>-0.5717478052673584</v>
      </c>
      <c r="E9" s="40">
        <v>4524</v>
      </c>
      <c r="F9" s="40">
        <v>10151</v>
      </c>
      <c r="G9" s="14">
        <f t="shared" si="4"/>
        <v>-0.5543296226972712</v>
      </c>
      <c r="H9" s="40">
        <v>842</v>
      </c>
      <c r="I9" s="40">
        <v>2379</v>
      </c>
      <c r="J9" s="14">
        <f t="shared" si="2"/>
        <v>-0.6460697772173182</v>
      </c>
      <c r="K9" s="142"/>
      <c r="L9" s="20"/>
      <c r="M9" s="64"/>
      <c r="N9" s="38"/>
      <c r="O9" s="38"/>
    </row>
    <row r="10" spans="1:15" ht="16.5" customHeight="1">
      <c r="A10" s="34" t="s">
        <v>16</v>
      </c>
      <c r="B10" s="65">
        <f t="shared" si="3"/>
        <v>3503</v>
      </c>
      <c r="C10" s="40">
        <f t="shared" si="0"/>
        <v>4315</v>
      </c>
      <c r="D10" s="14">
        <f t="shared" si="1"/>
        <v>-0.18818076477404402</v>
      </c>
      <c r="E10" s="40">
        <v>3102</v>
      </c>
      <c r="F10" s="40">
        <f>3755-3</f>
        <v>3752</v>
      </c>
      <c r="G10" s="14">
        <f t="shared" si="4"/>
        <v>-0.1732409381663113</v>
      </c>
      <c r="H10" s="40">
        <v>401</v>
      </c>
      <c r="I10" s="40">
        <v>563</v>
      </c>
      <c r="J10" s="14">
        <f t="shared" si="2"/>
        <v>-0.2877442273534636</v>
      </c>
      <c r="K10" s="142"/>
      <c r="L10" s="20"/>
      <c r="M10" s="38"/>
      <c r="N10" s="38"/>
      <c r="O10" s="38"/>
    </row>
    <row r="11" spans="1:15" ht="16.5" customHeight="1">
      <c r="A11" s="34" t="s">
        <v>17</v>
      </c>
      <c r="B11" s="65">
        <f t="shared" si="3"/>
        <v>10301</v>
      </c>
      <c r="C11" s="40">
        <f t="shared" si="0"/>
        <v>17254</v>
      </c>
      <c r="D11" s="14">
        <f t="shared" si="1"/>
        <v>-0.4029790193578301</v>
      </c>
      <c r="E11" s="40">
        <v>7402</v>
      </c>
      <c r="F11" s="40">
        <v>15121</v>
      </c>
      <c r="G11" s="14">
        <f t="shared" si="4"/>
        <v>-0.5104821109714965</v>
      </c>
      <c r="H11" s="40">
        <v>2899</v>
      </c>
      <c r="I11" s="40">
        <v>2133</v>
      </c>
      <c r="J11" s="14">
        <f t="shared" si="2"/>
        <v>0.35911861228316927</v>
      </c>
      <c r="K11" s="142"/>
      <c r="L11" s="20"/>
      <c r="M11" s="38"/>
      <c r="N11" s="20"/>
      <c r="O11" s="20"/>
    </row>
    <row r="12" spans="1:15" ht="16.5" customHeight="1">
      <c r="A12" s="34" t="s">
        <v>18</v>
      </c>
      <c r="B12" s="65">
        <f t="shared" si="3"/>
        <v>11207</v>
      </c>
      <c r="C12" s="40">
        <f t="shared" si="0"/>
        <v>13334</v>
      </c>
      <c r="D12" s="14">
        <f t="shared" si="1"/>
        <v>-0.15951702414879257</v>
      </c>
      <c r="E12" s="40">
        <v>322</v>
      </c>
      <c r="F12" s="40">
        <v>1</v>
      </c>
      <c r="G12" s="14">
        <f t="shared" si="4"/>
        <v>321</v>
      </c>
      <c r="H12" s="40">
        <v>10885</v>
      </c>
      <c r="I12" s="40">
        <v>13333</v>
      </c>
      <c r="J12" s="14">
        <f t="shared" si="2"/>
        <v>-0.18360459011475286</v>
      </c>
      <c r="K12" s="142"/>
      <c r="L12" s="20"/>
      <c r="M12" s="20"/>
      <c r="N12" s="20"/>
      <c r="O12" s="20"/>
    </row>
    <row r="13" spans="1:15" ht="16.5" customHeight="1">
      <c r="A13" s="34" t="s">
        <v>225</v>
      </c>
      <c r="B13" s="65">
        <f t="shared" si="3"/>
        <v>39759</v>
      </c>
      <c r="C13" s="40">
        <f t="shared" si="0"/>
        <v>42844</v>
      </c>
      <c r="D13" s="14">
        <f t="shared" si="1"/>
        <v>-0.07200541499393147</v>
      </c>
      <c r="E13" s="40">
        <v>14992</v>
      </c>
      <c r="F13" s="40">
        <f>16205-3162</f>
        <v>13043</v>
      </c>
      <c r="G13" s="14">
        <f t="shared" si="4"/>
        <v>0.1494288123897876</v>
      </c>
      <c r="H13" s="40">
        <v>24767</v>
      </c>
      <c r="I13" s="40">
        <v>29801</v>
      </c>
      <c r="J13" s="14">
        <f t="shared" si="2"/>
        <v>-0.16892050602328781</v>
      </c>
      <c r="K13" s="142"/>
      <c r="L13" s="20"/>
      <c r="M13" s="38"/>
      <c r="N13" s="131"/>
      <c r="O13" s="20"/>
    </row>
    <row r="14" spans="1:15" ht="16.5" customHeight="1">
      <c r="A14" s="34" t="s">
        <v>3</v>
      </c>
      <c r="B14" s="65">
        <f t="shared" si="3"/>
        <v>8954</v>
      </c>
      <c r="C14" s="40">
        <f t="shared" si="0"/>
        <v>9706</v>
      </c>
      <c r="D14" s="14">
        <f t="shared" si="1"/>
        <v>-0.07747784875334844</v>
      </c>
      <c r="E14" s="40">
        <v>6983</v>
      </c>
      <c r="F14" s="40">
        <f>8066-66</f>
        <v>8000</v>
      </c>
      <c r="G14" s="14">
        <f t="shared" si="4"/>
        <v>-0.127125</v>
      </c>
      <c r="H14" s="40">
        <v>1971</v>
      </c>
      <c r="I14" s="40">
        <v>1706</v>
      </c>
      <c r="J14" s="14">
        <f t="shared" si="2"/>
        <v>0.15533411488862836</v>
      </c>
      <c r="K14" s="142"/>
      <c r="L14" s="20"/>
      <c r="M14" s="38"/>
      <c r="N14" s="20"/>
      <c r="O14" s="20"/>
    </row>
    <row r="15" spans="1:15" ht="16.5" customHeight="1">
      <c r="A15" s="34" t="s">
        <v>4</v>
      </c>
      <c r="B15" s="65">
        <f t="shared" si="3"/>
        <v>486</v>
      </c>
      <c r="C15" s="40">
        <f t="shared" si="0"/>
        <v>1134</v>
      </c>
      <c r="D15" s="14">
        <f t="shared" si="1"/>
        <v>-0.5714285714285714</v>
      </c>
      <c r="E15" s="40">
        <v>224</v>
      </c>
      <c r="F15" s="40">
        <f>404</f>
        <v>404</v>
      </c>
      <c r="G15" s="14">
        <f t="shared" si="4"/>
        <v>-0.44554455445544555</v>
      </c>
      <c r="H15" s="40">
        <v>262</v>
      </c>
      <c r="I15" s="40">
        <v>730</v>
      </c>
      <c r="J15" s="14">
        <f t="shared" si="2"/>
        <v>-0.6410958904109589</v>
      </c>
      <c r="K15" s="142"/>
      <c r="L15" s="20"/>
      <c r="M15" s="131"/>
      <c r="N15" s="20"/>
      <c r="O15" s="20"/>
    </row>
    <row r="16" spans="1:15" ht="16.5" customHeight="1">
      <c r="A16" s="34" t="s">
        <v>15</v>
      </c>
      <c r="B16" s="65">
        <f t="shared" si="3"/>
        <v>707</v>
      </c>
      <c r="C16" s="40">
        <f t="shared" si="0"/>
        <v>1835</v>
      </c>
      <c r="D16" s="14">
        <f t="shared" si="1"/>
        <v>-0.6147138964577656</v>
      </c>
      <c r="E16" s="40">
        <v>63</v>
      </c>
      <c r="F16" s="40">
        <v>35</v>
      </c>
      <c r="G16" s="14">
        <f t="shared" si="4"/>
        <v>0.8</v>
      </c>
      <c r="H16" s="40">
        <v>644</v>
      </c>
      <c r="I16" s="40">
        <v>1800</v>
      </c>
      <c r="J16" s="14">
        <f t="shared" si="2"/>
        <v>-0.6422222222222222</v>
      </c>
      <c r="K16" s="142"/>
      <c r="L16" s="20"/>
      <c r="M16" s="131"/>
      <c r="N16" s="20"/>
      <c r="O16" s="20"/>
    </row>
    <row r="17" spans="1:15" ht="16.5" customHeight="1">
      <c r="A17" s="34" t="s">
        <v>5</v>
      </c>
      <c r="B17" s="65">
        <f t="shared" si="3"/>
        <v>706</v>
      </c>
      <c r="C17" s="40">
        <f t="shared" si="0"/>
        <v>826</v>
      </c>
      <c r="D17" s="14">
        <f t="shared" si="1"/>
        <v>-0.14527845036319612</v>
      </c>
      <c r="E17" s="40">
        <v>614</v>
      </c>
      <c r="F17" s="40">
        <v>763</v>
      </c>
      <c r="G17" s="14">
        <f t="shared" si="4"/>
        <v>-0.19528178243774574</v>
      </c>
      <c r="H17" s="40">
        <v>92</v>
      </c>
      <c r="I17" s="40">
        <v>63</v>
      </c>
      <c r="J17" s="14">
        <f t="shared" si="2"/>
        <v>0.4603174603174603</v>
      </c>
      <c r="K17" s="142"/>
      <c r="L17" s="20"/>
      <c r="M17" s="38"/>
      <c r="N17" s="38"/>
      <c r="O17" s="38"/>
    </row>
    <row r="18" spans="1:15" ht="16.5" customHeight="1">
      <c r="A18" s="34" t="s">
        <v>6</v>
      </c>
      <c r="B18" s="65">
        <f t="shared" si="3"/>
        <v>7692</v>
      </c>
      <c r="C18" s="40">
        <f t="shared" si="0"/>
        <v>6183</v>
      </c>
      <c r="D18" s="14">
        <f t="shared" si="1"/>
        <v>0.2440562833575934</v>
      </c>
      <c r="E18" s="40">
        <v>5101</v>
      </c>
      <c r="F18" s="40">
        <v>2384</v>
      </c>
      <c r="G18" s="14">
        <f t="shared" si="4"/>
        <v>1.1396812080536913</v>
      </c>
      <c r="H18" s="40">
        <v>2591</v>
      </c>
      <c r="I18" s="40">
        <v>3799</v>
      </c>
      <c r="J18" s="14">
        <f t="shared" si="2"/>
        <v>-0.31797841537246646</v>
      </c>
      <c r="K18" s="142"/>
      <c r="L18" s="20"/>
      <c r="M18" s="20"/>
      <c r="N18" s="20"/>
      <c r="O18" s="20"/>
    </row>
    <row r="19" spans="1:15" ht="16.5" customHeight="1">
      <c r="A19" s="34" t="s">
        <v>7</v>
      </c>
      <c r="B19" s="65">
        <f t="shared" si="3"/>
        <v>14522</v>
      </c>
      <c r="C19" s="40">
        <f t="shared" si="0"/>
        <v>17523</v>
      </c>
      <c r="D19" s="14">
        <f t="shared" si="1"/>
        <v>-0.17126062888774754</v>
      </c>
      <c r="E19" s="40">
        <v>1397</v>
      </c>
      <c r="F19" s="40">
        <v>464</v>
      </c>
      <c r="G19" s="14">
        <f t="shared" si="4"/>
        <v>2.0107758620689653</v>
      </c>
      <c r="H19" s="40">
        <v>13125</v>
      </c>
      <c r="I19" s="40">
        <v>17059</v>
      </c>
      <c r="J19" s="14">
        <f t="shared" si="2"/>
        <v>-0.2306114074681986</v>
      </c>
      <c r="K19" s="142"/>
      <c r="L19" s="20"/>
      <c r="M19" s="20"/>
      <c r="N19" s="20"/>
      <c r="O19" s="20"/>
    </row>
    <row r="20" spans="1:15" ht="16.5" customHeight="1">
      <c r="A20" s="34" t="s">
        <v>8</v>
      </c>
      <c r="B20" s="40">
        <f t="shared" si="3"/>
        <v>270</v>
      </c>
      <c r="C20" s="40">
        <f t="shared" si="0"/>
        <v>569</v>
      </c>
      <c r="D20" s="14">
        <f t="shared" si="1"/>
        <v>-0.5254833040421792</v>
      </c>
      <c r="E20" s="40">
        <v>120</v>
      </c>
      <c r="F20" s="40">
        <f>390</f>
        <v>390</v>
      </c>
      <c r="G20" s="14">
        <f t="shared" si="4"/>
        <v>-0.6923076923076923</v>
      </c>
      <c r="H20" s="40">
        <v>150</v>
      </c>
      <c r="I20" s="40">
        <v>179</v>
      </c>
      <c r="J20" s="14">
        <f t="shared" si="2"/>
        <v>-0.16201117318435754</v>
      </c>
      <c r="K20" s="142"/>
      <c r="L20" s="20"/>
      <c r="M20" s="20"/>
      <c r="N20" s="20"/>
      <c r="O20" s="20"/>
    </row>
    <row r="21" spans="1:15" ht="16.5" customHeight="1">
      <c r="A21" s="34" t="s">
        <v>14</v>
      </c>
      <c r="B21" s="40">
        <f t="shared" si="3"/>
        <v>196</v>
      </c>
      <c r="C21" s="40">
        <f t="shared" si="0"/>
        <v>193</v>
      </c>
      <c r="D21" s="14">
        <f t="shared" si="1"/>
        <v>0.015544041450777202</v>
      </c>
      <c r="E21" s="40">
        <v>116</v>
      </c>
      <c r="F21" s="40">
        <f>124</f>
        <v>124</v>
      </c>
      <c r="G21" s="14">
        <f t="shared" si="4"/>
        <v>-0.06451612903225806</v>
      </c>
      <c r="H21" s="40">
        <v>80</v>
      </c>
      <c r="I21" s="40">
        <v>69</v>
      </c>
      <c r="J21" s="14">
        <f t="shared" si="2"/>
        <v>0.15942028985507245</v>
      </c>
      <c r="K21" s="142"/>
      <c r="L21" s="20"/>
      <c r="M21" s="131"/>
      <c r="N21" s="20"/>
      <c r="O21" s="20"/>
    </row>
    <row r="22" spans="1:15" ht="16.5" customHeight="1">
      <c r="A22" s="70" t="s">
        <v>290</v>
      </c>
      <c r="B22" s="40">
        <f t="shared" si="3"/>
        <v>26</v>
      </c>
      <c r="C22" s="40">
        <f t="shared" si="0"/>
        <v>0</v>
      </c>
      <c r="D22" s="14"/>
      <c r="E22" s="40">
        <v>4</v>
      </c>
      <c r="F22" s="40"/>
      <c r="G22" s="14"/>
      <c r="H22" s="40">
        <v>22</v>
      </c>
      <c r="I22" s="40"/>
      <c r="J22" s="14"/>
      <c r="K22" s="142"/>
      <c r="L22" s="20"/>
      <c r="M22" s="20"/>
      <c r="N22" s="20"/>
      <c r="O22" s="20"/>
    </row>
    <row r="23" spans="1:15" ht="16.5" customHeight="1">
      <c r="A23" s="34" t="s">
        <v>19</v>
      </c>
      <c r="B23" s="40">
        <f t="shared" si="3"/>
        <v>980</v>
      </c>
      <c r="C23" s="40">
        <f t="shared" si="0"/>
        <v>2668</v>
      </c>
      <c r="D23" s="14">
        <f t="shared" si="1"/>
        <v>-0.6326836581709145</v>
      </c>
      <c r="E23" s="40">
        <v>52</v>
      </c>
      <c r="F23" s="40">
        <v>24</v>
      </c>
      <c r="G23" s="14">
        <f t="shared" si="4"/>
        <v>1.1666666666666667</v>
      </c>
      <c r="H23" s="40">
        <v>928</v>
      </c>
      <c r="I23" s="40">
        <v>2644</v>
      </c>
      <c r="J23" s="14">
        <f t="shared" si="2"/>
        <v>-0.649016641452345</v>
      </c>
      <c r="K23" s="142"/>
      <c r="L23" s="20"/>
      <c r="M23" s="20"/>
      <c r="N23" s="20"/>
      <c r="O23" s="20"/>
    </row>
    <row r="24" spans="1:15" ht="16.5" customHeight="1">
      <c r="A24" s="34" t="s">
        <v>9</v>
      </c>
      <c r="B24" s="40">
        <f t="shared" si="3"/>
        <v>488</v>
      </c>
      <c r="C24" s="40">
        <f t="shared" si="0"/>
        <v>524</v>
      </c>
      <c r="D24" s="14">
        <f t="shared" si="1"/>
        <v>-0.06870229007633588</v>
      </c>
      <c r="E24" s="40">
        <v>291</v>
      </c>
      <c r="F24" s="40">
        <v>249</v>
      </c>
      <c r="G24" s="14">
        <f t="shared" si="4"/>
        <v>0.1686746987951807</v>
      </c>
      <c r="H24" s="40">
        <v>197</v>
      </c>
      <c r="I24" s="40">
        <v>275</v>
      </c>
      <c r="J24" s="14">
        <f t="shared" si="2"/>
        <v>-0.28363636363636363</v>
      </c>
      <c r="K24" s="142"/>
      <c r="L24" s="20"/>
      <c r="M24" s="20"/>
      <c r="N24" s="20"/>
      <c r="O24" s="20"/>
    </row>
    <row r="25" spans="1:15" ht="16.5" customHeight="1">
      <c r="A25" s="34" t="s">
        <v>10</v>
      </c>
      <c r="B25" s="40">
        <f t="shared" si="3"/>
        <v>55</v>
      </c>
      <c r="C25" s="40">
        <f t="shared" si="0"/>
        <v>223</v>
      </c>
      <c r="D25" s="14">
        <f t="shared" si="1"/>
        <v>-0.7533632286995515</v>
      </c>
      <c r="E25" s="40">
        <v>9</v>
      </c>
      <c r="F25" s="40">
        <v>27</v>
      </c>
      <c r="G25" s="14">
        <f t="shared" si="4"/>
        <v>-0.6666666666666666</v>
      </c>
      <c r="H25" s="40">
        <v>46</v>
      </c>
      <c r="I25" s="40">
        <v>196</v>
      </c>
      <c r="J25" s="14">
        <f t="shared" si="2"/>
        <v>-0.7653061224489796</v>
      </c>
      <c r="K25" s="142"/>
      <c r="L25" s="20"/>
      <c r="M25" s="20"/>
      <c r="N25" s="20"/>
      <c r="O25" s="20"/>
    </row>
    <row r="26" spans="1:15" ht="16.5" customHeight="1">
      <c r="A26" s="34" t="s">
        <v>11</v>
      </c>
      <c r="B26" s="40">
        <f t="shared" si="3"/>
        <v>64</v>
      </c>
      <c r="C26" s="40">
        <f t="shared" si="0"/>
        <v>97</v>
      </c>
      <c r="D26" s="14">
        <f t="shared" si="1"/>
        <v>-0.3402061855670103</v>
      </c>
      <c r="E26" s="40">
        <v>17</v>
      </c>
      <c r="F26" s="40">
        <v>14</v>
      </c>
      <c r="G26" s="14">
        <f t="shared" si="4"/>
        <v>0.21428571428571427</v>
      </c>
      <c r="H26" s="40">
        <v>47</v>
      </c>
      <c r="I26" s="40">
        <v>83</v>
      </c>
      <c r="J26" s="14">
        <f t="shared" si="2"/>
        <v>-0.43373493975903615</v>
      </c>
      <c r="K26" s="142"/>
      <c r="L26" s="20"/>
      <c r="M26" s="20"/>
      <c r="N26" s="20"/>
      <c r="O26" s="20"/>
    </row>
    <row r="27" spans="1:15" ht="16.5" customHeight="1">
      <c r="A27" s="112" t="s">
        <v>12</v>
      </c>
      <c r="B27" s="130">
        <f t="shared" si="3"/>
        <v>4613</v>
      </c>
      <c r="C27" s="130">
        <f t="shared" si="0"/>
        <v>1197</v>
      </c>
      <c r="D27" s="111">
        <f t="shared" si="1"/>
        <v>2.853801169590643</v>
      </c>
      <c r="E27" s="130">
        <v>1</v>
      </c>
      <c r="F27" s="130"/>
      <c r="G27" s="111"/>
      <c r="H27" s="130">
        <v>4612</v>
      </c>
      <c r="I27" s="130">
        <v>1197</v>
      </c>
      <c r="J27" s="111">
        <f t="shared" si="2"/>
        <v>2.85296574770259</v>
      </c>
      <c r="K27" s="142"/>
      <c r="L27" s="20"/>
      <c r="M27" s="20"/>
      <c r="N27" s="20"/>
      <c r="O27" s="20"/>
    </row>
    <row r="28" spans="1:15" ht="16.5" customHeight="1">
      <c r="A28" s="34" t="s">
        <v>13</v>
      </c>
      <c r="B28" s="40">
        <f t="shared" si="3"/>
        <v>0</v>
      </c>
      <c r="C28" s="40">
        <f t="shared" si="0"/>
        <v>166</v>
      </c>
      <c r="D28" s="14">
        <f t="shared" si="1"/>
        <v>-1</v>
      </c>
      <c r="E28" s="40">
        <v>0</v>
      </c>
      <c r="F28" s="40">
        <f>3261-3096</f>
        <v>165</v>
      </c>
      <c r="G28" s="14">
        <f t="shared" si="4"/>
        <v>-1</v>
      </c>
      <c r="H28" s="40">
        <v>0</v>
      </c>
      <c r="I28" s="40">
        <v>1</v>
      </c>
      <c r="J28" s="14">
        <f t="shared" si="2"/>
        <v>-1</v>
      </c>
      <c r="K28" s="143"/>
      <c r="L28" s="20"/>
      <c r="M28" s="20"/>
      <c r="N28" s="20"/>
      <c r="O28" s="20"/>
    </row>
    <row r="29" spans="1:15" s="45" customFormat="1" ht="21" customHeight="1">
      <c r="A29" s="44" t="s">
        <v>22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5:15" ht="13.5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5:15" ht="13.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5:15" ht="13.5"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5:15" ht="13.5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5:15" ht="13.5"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5:15" ht="13.5"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5:15" ht="13.5"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5:15" ht="13.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5:15" ht="13.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5:15" ht="13.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5:15" ht="13.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5:15" ht="13.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5:15" ht="13.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5:15" ht="13.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5:15" ht="13.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5:15" ht="13.5"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5:15" ht="13.5"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5:15" ht="13.5"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5:15" ht="13.5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5:15" ht="13.5"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5:15" ht="13.5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5:15" ht="13.5"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5:15" ht="13.5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5:15" ht="13.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5:15" ht="13.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5:15" ht="13.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5:15" ht="13.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5:15" ht="13.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5:15" ht="13.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5:15" ht="13.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5:15" ht="13.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5:15" ht="13.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5:15" ht="13.5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5:15" ht="13.5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5:15" ht="13.5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5:15" ht="13.5"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5:15" ht="13.5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5:15" ht="13.5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5:15" ht="13.5"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5:15" ht="13.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5:15" ht="13.5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5:15" ht="13.5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5:15" ht="13.5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5:15" ht="13.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5:15" ht="13.5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5:15" ht="13.5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5:15" ht="13.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5:15" ht="13.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5:15" ht="13.5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5:15" ht="13.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5:15" ht="13.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5:15" ht="13.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5:15" ht="13.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5:15" ht="13.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</sheetData>
  <sheetProtection/>
  <mergeCells count="7">
    <mergeCell ref="K3:K4"/>
    <mergeCell ref="K5:K28"/>
    <mergeCell ref="A1:K1"/>
    <mergeCell ref="H3:J3"/>
    <mergeCell ref="B3:D3"/>
    <mergeCell ref="A3:A4"/>
    <mergeCell ref="E3:G3"/>
  </mergeCells>
  <printOptions horizontalCentered="1"/>
  <pageMargins left="0.09" right="0.09" top="0.52" bottom="0.4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5"/>
  <sheetViews>
    <sheetView showZeros="0" zoomScalePageLayoutView="0" workbookViewId="0" topLeftCell="A1">
      <selection activeCell="A20" sqref="A20"/>
    </sheetView>
  </sheetViews>
  <sheetFormatPr defaultColWidth="9.00390625" defaultRowHeight="13.5"/>
  <cols>
    <col min="1" max="1" width="33.625" style="0" customWidth="1"/>
    <col min="2" max="2" width="9.50390625" style="0" customWidth="1"/>
    <col min="3" max="3" width="10.75390625" style="0" customWidth="1"/>
    <col min="4" max="4" width="10.375" style="0" hidden="1" customWidth="1"/>
    <col min="5" max="5" width="10.125" style="0" hidden="1" customWidth="1"/>
    <col min="6" max="6" width="14.00390625" style="0" hidden="1" customWidth="1"/>
    <col min="7" max="7" width="8.125" style="0" customWidth="1"/>
    <col min="8" max="8" width="8.50390625" style="0" bestFit="1" customWidth="1"/>
    <col min="9" max="9" width="10.25390625" style="0" customWidth="1"/>
    <col min="10" max="10" width="10.125" style="0" customWidth="1"/>
  </cols>
  <sheetData>
    <row r="1" spans="1:10" ht="38.25" customHeight="1">
      <c r="A1" s="134" t="s">
        <v>291</v>
      </c>
      <c r="B1" s="134"/>
      <c r="C1" s="134"/>
      <c r="D1" s="134"/>
      <c r="E1" s="134"/>
      <c r="F1" s="134"/>
      <c r="G1" s="134"/>
      <c r="H1" s="134"/>
      <c r="I1" s="134"/>
      <c r="J1" s="134"/>
    </row>
    <row r="2" ht="23.25" customHeight="1">
      <c r="J2" s="28" t="s">
        <v>0</v>
      </c>
    </row>
    <row r="3" spans="1:10" s="119" customFormat="1" ht="19.5" customHeight="1">
      <c r="A3" s="114" t="s">
        <v>96</v>
      </c>
      <c r="B3" s="114" t="s">
        <v>228</v>
      </c>
      <c r="C3" s="115" t="s">
        <v>33</v>
      </c>
      <c r="D3" s="116" t="s">
        <v>25</v>
      </c>
      <c r="E3" s="117"/>
      <c r="F3" s="118"/>
      <c r="G3" s="115" t="s">
        <v>229</v>
      </c>
      <c r="H3" s="115" t="s">
        <v>230</v>
      </c>
      <c r="I3" s="115" t="s">
        <v>231</v>
      </c>
      <c r="J3" s="114" t="s">
        <v>238</v>
      </c>
    </row>
    <row r="4" spans="1:10" s="119" customFormat="1" ht="18" customHeight="1">
      <c r="A4" s="69" t="s">
        <v>99</v>
      </c>
      <c r="B4" s="120">
        <v>391000</v>
      </c>
      <c r="C4" s="121">
        <v>155405</v>
      </c>
      <c r="D4" s="121">
        <v>54</v>
      </c>
      <c r="E4" s="121">
        <v>2190</v>
      </c>
      <c r="F4" s="121">
        <v>62765</v>
      </c>
      <c r="G4" s="122">
        <f aca="true" t="shared" si="0" ref="G4:G30">C4/B4</f>
        <v>0.39745524296675194</v>
      </c>
      <c r="H4" s="121">
        <v>155121</v>
      </c>
      <c r="I4" s="123">
        <f>C4-H4</f>
        <v>284</v>
      </c>
      <c r="J4" s="124">
        <f>I4/H4</f>
        <v>0.0018308288368434965</v>
      </c>
    </row>
    <row r="5" spans="1:10" s="119" customFormat="1" ht="18" customHeight="1">
      <c r="A5" s="80" t="s">
        <v>100</v>
      </c>
      <c r="B5" s="120">
        <f>SUM(B6:B28)</f>
        <v>44749</v>
      </c>
      <c r="C5" s="120">
        <f>SUM(C6:C28)</f>
        <v>16329</v>
      </c>
      <c r="D5" s="120">
        <f>SUM(D6:D28)</f>
        <v>42</v>
      </c>
      <c r="E5" s="120">
        <f>SUM(E6:E28)</f>
        <v>33</v>
      </c>
      <c r="F5" s="120">
        <f>SUM(F6:F28)</f>
        <v>7052</v>
      </c>
      <c r="G5" s="122">
        <f t="shared" si="0"/>
        <v>0.364902008983441</v>
      </c>
      <c r="H5" s="121">
        <f>12140+308</f>
        <v>12448</v>
      </c>
      <c r="I5" s="123">
        <f aca="true" t="shared" si="1" ref="I5:I68">C5-H5</f>
        <v>3881</v>
      </c>
      <c r="J5" s="124">
        <f aca="true" t="shared" si="2" ref="J5:J69">I5/H5</f>
        <v>0.3117769922879177</v>
      </c>
    </row>
    <row r="6" spans="1:10" s="119" customFormat="1" ht="18" customHeight="1">
      <c r="A6" s="80" t="s">
        <v>101</v>
      </c>
      <c r="B6" s="125">
        <v>787</v>
      </c>
      <c r="C6" s="121">
        <v>469</v>
      </c>
      <c r="D6" s="121"/>
      <c r="E6" s="121"/>
      <c r="F6" s="121">
        <v>143</v>
      </c>
      <c r="G6" s="122">
        <f t="shared" si="0"/>
        <v>0.5959339263024143</v>
      </c>
      <c r="H6" s="121">
        <v>417</v>
      </c>
      <c r="I6" s="123">
        <f t="shared" si="1"/>
        <v>52</v>
      </c>
      <c r="J6" s="124">
        <f t="shared" si="2"/>
        <v>0.12470023980815348</v>
      </c>
    </row>
    <row r="7" spans="1:10" s="119" customFormat="1" ht="18" customHeight="1">
      <c r="A7" s="80" t="s">
        <v>102</v>
      </c>
      <c r="B7" s="125">
        <v>582</v>
      </c>
      <c r="C7" s="121">
        <v>215</v>
      </c>
      <c r="D7" s="121"/>
      <c r="E7" s="121"/>
      <c r="F7" s="121">
        <v>94</v>
      </c>
      <c r="G7" s="122">
        <f t="shared" si="0"/>
        <v>0.3694158075601375</v>
      </c>
      <c r="H7" s="121">
        <v>256</v>
      </c>
      <c r="I7" s="123">
        <f t="shared" si="1"/>
        <v>-41</v>
      </c>
      <c r="J7" s="124">
        <f t="shared" si="2"/>
        <v>-0.16015625</v>
      </c>
    </row>
    <row r="8" spans="1:10" s="119" customFormat="1" ht="18" customHeight="1">
      <c r="A8" s="80" t="s">
        <v>103</v>
      </c>
      <c r="B8" s="125">
        <v>13170</v>
      </c>
      <c r="C8" s="121">
        <v>4483</v>
      </c>
      <c r="D8" s="121"/>
      <c r="E8" s="121"/>
      <c r="F8" s="121">
        <f>2675+164</f>
        <v>2839</v>
      </c>
      <c r="G8" s="122">
        <f t="shared" si="0"/>
        <v>0.34039483675018983</v>
      </c>
      <c r="H8" s="121">
        <f>3831+308</f>
        <v>4139</v>
      </c>
      <c r="I8" s="123">
        <f t="shared" si="1"/>
        <v>344</v>
      </c>
      <c r="J8" s="124">
        <f t="shared" si="2"/>
        <v>0.08311186276878473</v>
      </c>
    </row>
    <row r="9" spans="1:10" s="119" customFormat="1" ht="18" customHeight="1">
      <c r="A9" s="80" t="s">
        <v>104</v>
      </c>
      <c r="B9" s="125">
        <v>1067</v>
      </c>
      <c r="C9" s="121">
        <v>493</v>
      </c>
      <c r="D9" s="121"/>
      <c r="E9" s="121"/>
      <c r="F9" s="121">
        <v>357</v>
      </c>
      <c r="G9" s="122">
        <f t="shared" si="0"/>
        <v>0.4620431115276476</v>
      </c>
      <c r="H9" s="121">
        <v>493</v>
      </c>
      <c r="I9" s="123">
        <f t="shared" si="1"/>
        <v>0</v>
      </c>
      <c r="J9" s="124">
        <f t="shared" si="2"/>
        <v>0</v>
      </c>
    </row>
    <row r="10" spans="1:10" s="119" customFormat="1" ht="18" customHeight="1">
      <c r="A10" s="80" t="s">
        <v>105</v>
      </c>
      <c r="B10" s="125">
        <v>506</v>
      </c>
      <c r="C10" s="121">
        <v>276</v>
      </c>
      <c r="D10" s="121"/>
      <c r="E10" s="121"/>
      <c r="F10" s="121">
        <v>126</v>
      </c>
      <c r="G10" s="122">
        <f t="shared" si="0"/>
        <v>0.5454545454545454</v>
      </c>
      <c r="H10" s="121">
        <v>189</v>
      </c>
      <c r="I10" s="123">
        <f t="shared" si="1"/>
        <v>87</v>
      </c>
      <c r="J10" s="124">
        <f t="shared" si="2"/>
        <v>0.4603174603174603</v>
      </c>
    </row>
    <row r="11" spans="1:10" s="119" customFormat="1" ht="18" customHeight="1">
      <c r="A11" s="80" t="s">
        <v>106</v>
      </c>
      <c r="B11" s="125">
        <v>2948</v>
      </c>
      <c r="C11" s="121">
        <v>1449</v>
      </c>
      <c r="D11" s="121"/>
      <c r="E11" s="121"/>
      <c r="F11" s="121">
        <v>1109</v>
      </c>
      <c r="G11" s="122">
        <f t="shared" si="0"/>
        <v>0.49151967435549526</v>
      </c>
      <c r="H11" s="121">
        <v>1468</v>
      </c>
      <c r="I11" s="123">
        <f t="shared" si="1"/>
        <v>-19</v>
      </c>
      <c r="J11" s="124">
        <f t="shared" si="2"/>
        <v>-0.012942779291553134</v>
      </c>
    </row>
    <row r="12" spans="1:10" s="119" customFormat="1" ht="18" customHeight="1">
      <c r="A12" s="80" t="s">
        <v>107</v>
      </c>
      <c r="B12" s="125">
        <v>621</v>
      </c>
      <c r="C12" s="121">
        <v>363</v>
      </c>
      <c r="D12" s="121"/>
      <c r="E12" s="121"/>
      <c r="F12" s="121">
        <v>200</v>
      </c>
      <c r="G12" s="122">
        <f t="shared" si="0"/>
        <v>0.5845410628019324</v>
      </c>
      <c r="H12" s="121">
        <v>200</v>
      </c>
      <c r="I12" s="123">
        <f t="shared" si="1"/>
        <v>163</v>
      </c>
      <c r="J12" s="124">
        <f t="shared" si="2"/>
        <v>0.815</v>
      </c>
    </row>
    <row r="13" spans="1:10" s="119" customFormat="1" ht="18" customHeight="1">
      <c r="A13" s="80" t="s">
        <v>108</v>
      </c>
      <c r="B13" s="125">
        <v>41</v>
      </c>
      <c r="C13" s="121">
        <v>11</v>
      </c>
      <c r="D13" s="121"/>
      <c r="E13" s="121">
        <v>13</v>
      </c>
      <c r="F13" s="121">
        <v>10</v>
      </c>
      <c r="G13" s="122">
        <f t="shared" si="0"/>
        <v>0.2682926829268293</v>
      </c>
      <c r="H13" s="121">
        <v>23</v>
      </c>
      <c r="I13" s="123">
        <f t="shared" si="1"/>
        <v>-12</v>
      </c>
      <c r="J13" s="124">
        <f t="shared" si="2"/>
        <v>-0.5217391304347826</v>
      </c>
    </row>
    <row r="14" spans="1:10" s="119" customFormat="1" ht="18" customHeight="1">
      <c r="A14" s="80" t="s">
        <v>109</v>
      </c>
      <c r="B14" s="125">
        <v>830</v>
      </c>
      <c r="C14" s="121">
        <v>257</v>
      </c>
      <c r="D14" s="121"/>
      <c r="E14" s="121"/>
      <c r="F14" s="121">
        <v>158</v>
      </c>
      <c r="G14" s="122">
        <f t="shared" si="0"/>
        <v>0.3096385542168675</v>
      </c>
      <c r="H14" s="121">
        <v>203</v>
      </c>
      <c r="I14" s="123">
        <f t="shared" si="1"/>
        <v>54</v>
      </c>
      <c r="J14" s="124">
        <f t="shared" si="2"/>
        <v>0.2660098522167488</v>
      </c>
    </row>
    <row r="15" spans="1:10" s="119" customFormat="1" ht="18" customHeight="1">
      <c r="A15" s="80" t="s">
        <v>110</v>
      </c>
      <c r="B15" s="125">
        <v>344</v>
      </c>
      <c r="C15" s="121">
        <v>155</v>
      </c>
      <c r="D15" s="121"/>
      <c r="E15" s="121"/>
      <c r="F15" s="121">
        <v>122</v>
      </c>
      <c r="G15" s="122">
        <f t="shared" si="0"/>
        <v>0.45058139534883723</v>
      </c>
      <c r="H15" s="121">
        <v>128</v>
      </c>
      <c r="I15" s="123">
        <f t="shared" si="1"/>
        <v>27</v>
      </c>
      <c r="J15" s="124">
        <f t="shared" si="2"/>
        <v>0.2109375</v>
      </c>
    </row>
    <row r="16" spans="1:10" s="119" customFormat="1" ht="18" customHeight="1">
      <c r="A16" s="80" t="s">
        <v>111</v>
      </c>
      <c r="B16" s="125">
        <v>55</v>
      </c>
      <c r="C16" s="121"/>
      <c r="D16" s="121"/>
      <c r="E16" s="121">
        <v>20</v>
      </c>
      <c r="F16" s="121"/>
      <c r="G16" s="122">
        <f t="shared" si="0"/>
        <v>0</v>
      </c>
      <c r="H16" s="121">
        <v>20</v>
      </c>
      <c r="I16" s="123">
        <f t="shared" si="1"/>
        <v>-20</v>
      </c>
      <c r="J16" s="124"/>
    </row>
    <row r="17" spans="1:10" s="119" customFormat="1" ht="18" customHeight="1">
      <c r="A17" s="80" t="s">
        <v>112</v>
      </c>
      <c r="B17" s="125">
        <v>1441</v>
      </c>
      <c r="C17" s="121">
        <v>859</v>
      </c>
      <c r="D17" s="121"/>
      <c r="E17" s="121"/>
      <c r="F17" s="121"/>
      <c r="G17" s="122">
        <f t="shared" si="0"/>
        <v>0.5961138098542679</v>
      </c>
      <c r="H17" s="121">
        <v>17</v>
      </c>
      <c r="I17" s="123">
        <f t="shared" si="1"/>
        <v>842</v>
      </c>
      <c r="J17" s="124">
        <f>I17/H17</f>
        <v>49.529411764705884</v>
      </c>
    </row>
    <row r="18" spans="1:10" s="119" customFormat="1" ht="18" customHeight="1">
      <c r="A18" s="126" t="s">
        <v>356</v>
      </c>
      <c r="B18" s="125">
        <v>404</v>
      </c>
      <c r="C18" s="121">
        <v>177</v>
      </c>
      <c r="D18" s="121"/>
      <c r="E18" s="121"/>
      <c r="F18" s="121"/>
      <c r="G18" s="122">
        <f t="shared" si="0"/>
        <v>0.4381188118811881</v>
      </c>
      <c r="H18" s="121"/>
      <c r="I18" s="123">
        <f t="shared" si="1"/>
        <v>177</v>
      </c>
      <c r="J18" s="124"/>
    </row>
    <row r="19" spans="1:10" s="119" customFormat="1" ht="18" customHeight="1">
      <c r="A19" s="80" t="s">
        <v>113</v>
      </c>
      <c r="B19" s="125">
        <v>26</v>
      </c>
      <c r="C19" s="121">
        <v>11</v>
      </c>
      <c r="D19" s="121"/>
      <c r="E19" s="121"/>
      <c r="F19" s="121">
        <v>6</v>
      </c>
      <c r="G19" s="122">
        <f t="shared" si="0"/>
        <v>0.4230769230769231</v>
      </c>
      <c r="H19" s="121">
        <v>11</v>
      </c>
      <c r="I19" s="123">
        <f t="shared" si="1"/>
        <v>0</v>
      </c>
      <c r="J19" s="124">
        <f t="shared" si="2"/>
        <v>0</v>
      </c>
    </row>
    <row r="20" spans="1:10" s="119" customFormat="1" ht="18" customHeight="1">
      <c r="A20" s="80" t="s">
        <v>114</v>
      </c>
      <c r="B20" s="125">
        <v>26</v>
      </c>
      <c r="C20" s="121">
        <v>16</v>
      </c>
      <c r="D20" s="121"/>
      <c r="E20" s="121"/>
      <c r="F20" s="121"/>
      <c r="G20" s="122">
        <f t="shared" si="0"/>
        <v>0.6153846153846154</v>
      </c>
      <c r="H20" s="121">
        <v>17</v>
      </c>
      <c r="I20" s="123">
        <f t="shared" si="1"/>
        <v>-1</v>
      </c>
      <c r="J20" s="124">
        <f t="shared" si="2"/>
        <v>-0.058823529411764705</v>
      </c>
    </row>
    <row r="21" spans="1:10" s="119" customFormat="1" ht="18" customHeight="1">
      <c r="A21" s="80" t="s">
        <v>115</v>
      </c>
      <c r="B21" s="125">
        <v>473</v>
      </c>
      <c r="C21" s="121">
        <v>90</v>
      </c>
      <c r="D21" s="121"/>
      <c r="E21" s="121"/>
      <c r="F21" s="121">
        <v>78</v>
      </c>
      <c r="G21" s="122">
        <f t="shared" si="0"/>
        <v>0.19027484143763213</v>
      </c>
      <c r="H21" s="121">
        <v>82</v>
      </c>
      <c r="I21" s="123">
        <f t="shared" si="1"/>
        <v>8</v>
      </c>
      <c r="J21" s="124">
        <f t="shared" si="2"/>
        <v>0.0975609756097561</v>
      </c>
    </row>
    <row r="22" spans="1:10" s="119" customFormat="1" ht="18" customHeight="1">
      <c r="A22" s="80" t="s">
        <v>116</v>
      </c>
      <c r="B22" s="125">
        <v>75</v>
      </c>
      <c r="C22" s="121">
        <v>23</v>
      </c>
      <c r="D22" s="121"/>
      <c r="E22" s="121"/>
      <c r="F22" s="121">
        <v>17</v>
      </c>
      <c r="G22" s="122">
        <f t="shared" si="0"/>
        <v>0.30666666666666664</v>
      </c>
      <c r="H22" s="121">
        <v>28</v>
      </c>
      <c r="I22" s="123">
        <f t="shared" si="1"/>
        <v>-5</v>
      </c>
      <c r="J22" s="124">
        <f t="shared" si="2"/>
        <v>-0.17857142857142858</v>
      </c>
    </row>
    <row r="23" spans="1:10" s="119" customFormat="1" ht="18" customHeight="1">
      <c r="A23" s="80" t="s">
        <v>117</v>
      </c>
      <c r="B23" s="125">
        <v>242</v>
      </c>
      <c r="C23" s="121">
        <v>100</v>
      </c>
      <c r="D23" s="121">
        <v>3</v>
      </c>
      <c r="E23" s="121"/>
      <c r="F23" s="121">
        <v>78</v>
      </c>
      <c r="G23" s="122">
        <f t="shared" si="0"/>
        <v>0.4132231404958678</v>
      </c>
      <c r="H23" s="121">
        <v>89</v>
      </c>
      <c r="I23" s="123">
        <f t="shared" si="1"/>
        <v>11</v>
      </c>
      <c r="J23" s="124">
        <f t="shared" si="2"/>
        <v>0.12359550561797752</v>
      </c>
    </row>
    <row r="24" spans="1:10" s="119" customFormat="1" ht="18" customHeight="1">
      <c r="A24" s="80" t="s">
        <v>118</v>
      </c>
      <c r="B24" s="125">
        <v>1387</v>
      </c>
      <c r="C24" s="121">
        <v>550</v>
      </c>
      <c r="D24" s="121">
        <v>39</v>
      </c>
      <c r="E24" s="121"/>
      <c r="F24" s="121">
        <v>362</v>
      </c>
      <c r="G24" s="122">
        <f t="shared" si="0"/>
        <v>0.3965392934390771</v>
      </c>
      <c r="H24" s="121">
        <v>611</v>
      </c>
      <c r="I24" s="123">
        <f t="shared" si="1"/>
        <v>-61</v>
      </c>
      <c r="J24" s="124">
        <f t="shared" si="2"/>
        <v>-0.09983633387888707</v>
      </c>
    </row>
    <row r="25" spans="1:10" s="119" customFormat="1" ht="18" customHeight="1">
      <c r="A25" s="80" t="s">
        <v>119</v>
      </c>
      <c r="B25" s="125">
        <v>441</v>
      </c>
      <c r="C25" s="121">
        <v>134</v>
      </c>
      <c r="D25" s="121"/>
      <c r="E25" s="121"/>
      <c r="F25" s="121">
        <v>83</v>
      </c>
      <c r="G25" s="122">
        <f t="shared" si="0"/>
        <v>0.30385487528344673</v>
      </c>
      <c r="H25" s="121">
        <v>123</v>
      </c>
      <c r="I25" s="123">
        <f t="shared" si="1"/>
        <v>11</v>
      </c>
      <c r="J25" s="124">
        <f t="shared" si="2"/>
        <v>0.08943089430894309</v>
      </c>
    </row>
    <row r="26" spans="1:10" s="119" customFormat="1" ht="18" customHeight="1">
      <c r="A26" s="80" t="s">
        <v>120</v>
      </c>
      <c r="B26" s="125">
        <v>1232</v>
      </c>
      <c r="C26" s="121">
        <v>79</v>
      </c>
      <c r="D26" s="121"/>
      <c r="E26" s="121"/>
      <c r="F26" s="121">
        <v>69</v>
      </c>
      <c r="G26" s="122">
        <f t="shared" si="0"/>
        <v>0.06412337662337662</v>
      </c>
      <c r="H26" s="121">
        <v>195</v>
      </c>
      <c r="I26" s="123">
        <f t="shared" si="1"/>
        <v>-116</v>
      </c>
      <c r="J26" s="124">
        <f t="shared" si="2"/>
        <v>-0.5948717948717949</v>
      </c>
    </row>
    <row r="27" spans="1:10" s="119" customFormat="1" ht="18" customHeight="1">
      <c r="A27" s="80" t="s">
        <v>121</v>
      </c>
      <c r="B27" s="125">
        <v>93</v>
      </c>
      <c r="C27" s="121">
        <v>34</v>
      </c>
      <c r="D27" s="121"/>
      <c r="E27" s="121"/>
      <c r="F27" s="121">
        <v>27</v>
      </c>
      <c r="G27" s="122">
        <f t="shared" si="0"/>
        <v>0.3655913978494624</v>
      </c>
      <c r="H27" s="121">
        <v>34</v>
      </c>
      <c r="I27" s="123">
        <f t="shared" si="1"/>
        <v>0</v>
      </c>
      <c r="J27" s="124">
        <f t="shared" si="2"/>
        <v>0</v>
      </c>
    </row>
    <row r="28" spans="1:10" s="119" customFormat="1" ht="18" customHeight="1">
      <c r="A28" s="80" t="s">
        <v>122</v>
      </c>
      <c r="B28" s="125">
        <v>17958</v>
      </c>
      <c r="C28" s="121">
        <v>6085</v>
      </c>
      <c r="D28" s="121"/>
      <c r="E28" s="121"/>
      <c r="F28" s="121">
        <v>1174</v>
      </c>
      <c r="G28" s="122">
        <f t="shared" si="0"/>
        <v>0.3388461966811449</v>
      </c>
      <c r="H28" s="121">
        <v>3705</v>
      </c>
      <c r="I28" s="123">
        <f t="shared" si="1"/>
        <v>2380</v>
      </c>
      <c r="J28" s="124">
        <f t="shared" si="2"/>
        <v>0.6423751686909581</v>
      </c>
    </row>
    <row r="29" spans="1:10" s="119" customFormat="1" ht="18" customHeight="1">
      <c r="A29" s="80" t="s">
        <v>123</v>
      </c>
      <c r="B29" s="120">
        <v>464</v>
      </c>
      <c r="C29" s="121">
        <v>145</v>
      </c>
      <c r="D29" s="121"/>
      <c r="E29" s="121"/>
      <c r="F29" s="121"/>
      <c r="G29" s="122">
        <f t="shared" si="0"/>
        <v>0.3125</v>
      </c>
      <c r="H29" s="121">
        <f>338-308</f>
        <v>30</v>
      </c>
      <c r="I29" s="123">
        <f t="shared" si="1"/>
        <v>115</v>
      </c>
      <c r="J29" s="124">
        <f t="shared" si="2"/>
        <v>3.8333333333333335</v>
      </c>
    </row>
    <row r="30" spans="1:10" s="119" customFormat="1" ht="18" customHeight="1">
      <c r="A30" s="80" t="s">
        <v>124</v>
      </c>
      <c r="B30" s="120">
        <v>464</v>
      </c>
      <c r="C30" s="121">
        <v>145</v>
      </c>
      <c r="D30" s="121"/>
      <c r="E30" s="121"/>
      <c r="F30" s="121"/>
      <c r="G30" s="122">
        <f t="shared" si="0"/>
        <v>0.3125</v>
      </c>
      <c r="H30" s="121">
        <f>338-308</f>
        <v>30</v>
      </c>
      <c r="I30" s="123">
        <f t="shared" si="1"/>
        <v>115</v>
      </c>
      <c r="J30" s="124">
        <f t="shared" si="2"/>
        <v>3.8333333333333335</v>
      </c>
    </row>
    <row r="31" spans="1:10" s="119" customFormat="1" ht="18" customHeight="1">
      <c r="A31" s="80" t="s">
        <v>125</v>
      </c>
      <c r="B31" s="120"/>
      <c r="C31" s="121">
        <v>0</v>
      </c>
      <c r="D31" s="121"/>
      <c r="E31" s="121"/>
      <c r="F31" s="121"/>
      <c r="G31" s="122"/>
      <c r="H31" s="121">
        <v>0</v>
      </c>
      <c r="I31" s="123">
        <f t="shared" si="1"/>
        <v>0</v>
      </c>
      <c r="J31" s="124"/>
    </row>
    <row r="32" spans="1:10" s="119" customFormat="1" ht="18" customHeight="1">
      <c r="A32" s="80" t="s">
        <v>126</v>
      </c>
      <c r="B32" s="125">
        <v>17044</v>
      </c>
      <c r="C32" s="121">
        <f>9359</f>
        <v>9359</v>
      </c>
      <c r="D32" s="121"/>
      <c r="E32" s="121"/>
      <c r="F32" s="121">
        <v>3271</v>
      </c>
      <c r="G32" s="122">
        <f aca="true" t="shared" si="3" ref="G32:G48">C32/B32</f>
        <v>0.5491081905655949</v>
      </c>
      <c r="H32" s="121">
        <v>5674</v>
      </c>
      <c r="I32" s="123">
        <f t="shared" si="1"/>
        <v>3685</v>
      </c>
      <c r="J32" s="124">
        <f t="shared" si="2"/>
        <v>0.6494536482199507</v>
      </c>
    </row>
    <row r="33" spans="1:10" s="119" customFormat="1" ht="18" customHeight="1">
      <c r="A33" s="80" t="s">
        <v>127</v>
      </c>
      <c r="B33" s="125">
        <v>687.83</v>
      </c>
      <c r="C33" s="121">
        <v>239</v>
      </c>
      <c r="D33" s="121"/>
      <c r="E33" s="121"/>
      <c r="F33" s="121"/>
      <c r="G33" s="122">
        <f t="shared" si="3"/>
        <v>0.347469578238809</v>
      </c>
      <c r="H33" s="121">
        <v>112</v>
      </c>
      <c r="I33" s="123">
        <f t="shared" si="1"/>
        <v>127</v>
      </c>
      <c r="J33" s="124">
        <f t="shared" si="2"/>
        <v>1.1339285714285714</v>
      </c>
    </row>
    <row r="34" spans="1:10" s="119" customFormat="1" ht="18" customHeight="1">
      <c r="A34" s="80" t="s">
        <v>128</v>
      </c>
      <c r="B34" s="125">
        <v>11830.6374</v>
      </c>
      <c r="C34" s="121">
        <v>6417</v>
      </c>
      <c r="D34" s="121"/>
      <c r="E34" s="121"/>
      <c r="F34" s="121">
        <v>2332</v>
      </c>
      <c r="G34" s="122">
        <f t="shared" si="3"/>
        <v>0.5424052638110606</v>
      </c>
      <c r="H34" s="121">
        <v>3808</v>
      </c>
      <c r="I34" s="123">
        <f t="shared" si="1"/>
        <v>2609</v>
      </c>
      <c r="J34" s="124">
        <f t="shared" si="2"/>
        <v>0.6851365546218487</v>
      </c>
    </row>
    <row r="35" spans="1:10" s="119" customFormat="1" ht="18" customHeight="1">
      <c r="A35" s="80" t="s">
        <v>129</v>
      </c>
      <c r="B35" s="125">
        <v>1319</v>
      </c>
      <c r="C35" s="121">
        <v>742</v>
      </c>
      <c r="D35" s="121"/>
      <c r="E35" s="121"/>
      <c r="F35" s="121">
        <v>294</v>
      </c>
      <c r="G35" s="122">
        <f t="shared" si="3"/>
        <v>0.5625473843821076</v>
      </c>
      <c r="H35" s="121">
        <v>431</v>
      </c>
      <c r="I35" s="123">
        <f t="shared" si="1"/>
        <v>311</v>
      </c>
      <c r="J35" s="124">
        <f t="shared" si="2"/>
        <v>0.7215777262180975</v>
      </c>
    </row>
    <row r="36" spans="1:10" s="119" customFormat="1" ht="18" customHeight="1">
      <c r="A36" s="80" t="s">
        <v>130</v>
      </c>
      <c r="B36" s="125">
        <v>2372</v>
      </c>
      <c r="C36" s="121">
        <v>1460</v>
      </c>
      <c r="D36" s="121"/>
      <c r="E36" s="121"/>
      <c r="F36" s="121">
        <v>406</v>
      </c>
      <c r="G36" s="122">
        <f t="shared" si="3"/>
        <v>0.6155143338954469</v>
      </c>
      <c r="H36" s="121">
        <v>955</v>
      </c>
      <c r="I36" s="123">
        <f t="shared" si="1"/>
        <v>505</v>
      </c>
      <c r="J36" s="124">
        <f t="shared" si="2"/>
        <v>0.5287958115183246</v>
      </c>
    </row>
    <row r="37" spans="1:10" s="119" customFormat="1" ht="18" customHeight="1">
      <c r="A37" s="80" t="s">
        <v>131</v>
      </c>
      <c r="B37" s="125">
        <v>834.4504</v>
      </c>
      <c r="C37" s="121">
        <v>501</v>
      </c>
      <c r="D37" s="121"/>
      <c r="E37" s="121"/>
      <c r="F37" s="121">
        <v>239</v>
      </c>
      <c r="G37" s="122">
        <f t="shared" si="3"/>
        <v>0.600395182266076</v>
      </c>
      <c r="H37" s="121">
        <v>368</v>
      </c>
      <c r="I37" s="123">
        <f t="shared" si="1"/>
        <v>133</v>
      </c>
      <c r="J37" s="124">
        <f t="shared" si="2"/>
        <v>0.36141304347826086</v>
      </c>
    </row>
    <row r="38" spans="1:10" s="119" customFormat="1" ht="18" customHeight="1">
      <c r="A38" s="80" t="s">
        <v>132</v>
      </c>
      <c r="B38" s="125">
        <v>89660</v>
      </c>
      <c r="C38" s="121">
        <v>40052</v>
      </c>
      <c r="D38" s="121"/>
      <c r="E38" s="121"/>
      <c r="F38" s="121">
        <v>29918</v>
      </c>
      <c r="G38" s="122">
        <f t="shared" si="3"/>
        <v>0.44670979254963195</v>
      </c>
      <c r="H38" s="121">
        <v>50388</v>
      </c>
      <c r="I38" s="123">
        <f t="shared" si="1"/>
        <v>-10336</v>
      </c>
      <c r="J38" s="124">
        <f t="shared" si="2"/>
        <v>-0.20512820512820512</v>
      </c>
    </row>
    <row r="39" spans="1:10" s="119" customFormat="1" ht="18" customHeight="1">
      <c r="A39" s="80" t="s">
        <v>133</v>
      </c>
      <c r="B39" s="125">
        <v>790</v>
      </c>
      <c r="C39" s="121">
        <v>315</v>
      </c>
      <c r="D39" s="121"/>
      <c r="E39" s="121"/>
      <c r="F39" s="121">
        <v>229</v>
      </c>
      <c r="G39" s="122">
        <f t="shared" si="3"/>
        <v>0.3987341772151899</v>
      </c>
      <c r="H39" s="121">
        <v>271</v>
      </c>
      <c r="I39" s="123">
        <f t="shared" si="1"/>
        <v>44</v>
      </c>
      <c r="J39" s="124">
        <f t="shared" si="2"/>
        <v>0.16236162361623616</v>
      </c>
    </row>
    <row r="40" spans="1:10" s="119" customFormat="1" ht="18" customHeight="1">
      <c r="A40" s="80" t="s">
        <v>134</v>
      </c>
      <c r="B40" s="125">
        <v>80137</v>
      </c>
      <c r="C40" s="121">
        <v>38419</v>
      </c>
      <c r="D40" s="121"/>
      <c r="E40" s="121"/>
      <c r="F40" s="121">
        <v>28677</v>
      </c>
      <c r="G40" s="122">
        <f t="shared" si="3"/>
        <v>0.47941649924504287</v>
      </c>
      <c r="H40" s="121">
        <v>48255</v>
      </c>
      <c r="I40" s="123">
        <f t="shared" si="1"/>
        <v>-9836</v>
      </c>
      <c r="J40" s="124">
        <f t="shared" si="2"/>
        <v>-0.20383379960625841</v>
      </c>
    </row>
    <row r="41" spans="1:10" s="119" customFormat="1" ht="18" customHeight="1">
      <c r="A41" s="80" t="s">
        <v>135</v>
      </c>
      <c r="B41" s="125">
        <v>1420</v>
      </c>
      <c r="C41" s="121">
        <v>593</v>
      </c>
      <c r="D41" s="121"/>
      <c r="E41" s="121"/>
      <c r="F41" s="121">
        <v>523</v>
      </c>
      <c r="G41" s="122">
        <f t="shared" si="3"/>
        <v>0.4176056338028169</v>
      </c>
      <c r="H41" s="121">
        <v>746</v>
      </c>
      <c r="I41" s="123">
        <f t="shared" si="1"/>
        <v>-153</v>
      </c>
      <c r="J41" s="124">
        <f t="shared" si="2"/>
        <v>-0.20509383378016086</v>
      </c>
    </row>
    <row r="42" spans="1:10" s="119" customFormat="1" ht="18" customHeight="1">
      <c r="A42" s="80" t="s">
        <v>136</v>
      </c>
      <c r="B42" s="125">
        <v>80</v>
      </c>
      <c r="C42" s="121">
        <v>52</v>
      </c>
      <c r="D42" s="121"/>
      <c r="E42" s="121"/>
      <c r="F42" s="121">
        <v>31</v>
      </c>
      <c r="G42" s="122">
        <f t="shared" si="3"/>
        <v>0.65</v>
      </c>
      <c r="H42" s="121">
        <v>31</v>
      </c>
      <c r="I42" s="123">
        <f t="shared" si="1"/>
        <v>21</v>
      </c>
      <c r="J42" s="124">
        <f t="shared" si="2"/>
        <v>0.6774193548387096</v>
      </c>
    </row>
    <row r="43" spans="1:10" s="119" customFormat="1" ht="18" customHeight="1">
      <c r="A43" s="80" t="s">
        <v>137</v>
      </c>
      <c r="B43" s="125">
        <v>1107</v>
      </c>
      <c r="C43" s="121">
        <v>364</v>
      </c>
      <c r="D43" s="121"/>
      <c r="E43" s="121"/>
      <c r="F43" s="121">
        <v>197</v>
      </c>
      <c r="G43" s="122">
        <f t="shared" si="3"/>
        <v>0.3288166214995483</v>
      </c>
      <c r="H43" s="121">
        <v>273</v>
      </c>
      <c r="I43" s="123">
        <f t="shared" si="1"/>
        <v>91</v>
      </c>
      <c r="J43" s="124">
        <f t="shared" si="2"/>
        <v>0.3333333333333333</v>
      </c>
    </row>
    <row r="44" spans="1:10" s="119" customFormat="1" ht="18" customHeight="1">
      <c r="A44" s="80" t="s">
        <v>138</v>
      </c>
      <c r="B44" s="125">
        <v>5594</v>
      </c>
      <c r="C44" s="121">
        <v>0</v>
      </c>
      <c r="D44" s="121"/>
      <c r="E44" s="121"/>
      <c r="F44" s="121"/>
      <c r="G44" s="122">
        <f t="shared" si="3"/>
        <v>0</v>
      </c>
      <c r="H44" s="121">
        <v>551</v>
      </c>
      <c r="I44" s="123">
        <f t="shared" si="1"/>
        <v>-551</v>
      </c>
      <c r="J44" s="124"/>
    </row>
    <row r="45" spans="1:10" s="119" customFormat="1" ht="18" customHeight="1">
      <c r="A45" s="80" t="s">
        <v>139</v>
      </c>
      <c r="B45" s="125">
        <v>532</v>
      </c>
      <c r="C45" s="121">
        <v>309</v>
      </c>
      <c r="D45" s="121"/>
      <c r="E45" s="121"/>
      <c r="F45" s="121">
        <v>261</v>
      </c>
      <c r="G45" s="122">
        <f t="shared" si="3"/>
        <v>0.5808270676691729</v>
      </c>
      <c r="H45" s="121">
        <v>261</v>
      </c>
      <c r="I45" s="123">
        <f t="shared" si="1"/>
        <v>48</v>
      </c>
      <c r="J45" s="124">
        <f t="shared" si="2"/>
        <v>0.1839080459770115</v>
      </c>
    </row>
    <row r="46" spans="1:10" s="119" customFormat="1" ht="18" customHeight="1">
      <c r="A46" s="80" t="s">
        <v>140</v>
      </c>
      <c r="B46" s="125">
        <v>251</v>
      </c>
      <c r="C46" s="121">
        <v>128</v>
      </c>
      <c r="D46" s="121"/>
      <c r="E46" s="121"/>
      <c r="F46" s="121">
        <v>77</v>
      </c>
      <c r="G46" s="122">
        <f t="shared" si="3"/>
        <v>0.5099601593625498</v>
      </c>
      <c r="H46" s="121">
        <v>81</v>
      </c>
      <c r="I46" s="123">
        <f t="shared" si="1"/>
        <v>47</v>
      </c>
      <c r="J46" s="124">
        <f t="shared" si="2"/>
        <v>0.5802469135802469</v>
      </c>
    </row>
    <row r="47" spans="1:10" s="119" customFormat="1" ht="18" customHeight="1">
      <c r="A47" s="80" t="s">
        <v>141</v>
      </c>
      <c r="B47" s="125">
        <v>151.3369</v>
      </c>
      <c r="C47" s="121">
        <v>79</v>
      </c>
      <c r="D47" s="121"/>
      <c r="E47" s="121"/>
      <c r="F47" s="121">
        <v>58</v>
      </c>
      <c r="G47" s="122">
        <f t="shared" si="3"/>
        <v>0.5220141287418997</v>
      </c>
      <c r="H47" s="121">
        <v>60</v>
      </c>
      <c r="I47" s="123">
        <f t="shared" si="1"/>
        <v>19</v>
      </c>
      <c r="J47" s="124">
        <f t="shared" si="2"/>
        <v>0.31666666666666665</v>
      </c>
    </row>
    <row r="48" spans="1:10" s="119" customFormat="1" ht="18" customHeight="1">
      <c r="A48" s="80" t="s">
        <v>142</v>
      </c>
      <c r="B48" s="125">
        <v>10</v>
      </c>
      <c r="C48" s="121">
        <v>10</v>
      </c>
      <c r="D48" s="121"/>
      <c r="E48" s="121"/>
      <c r="F48" s="121"/>
      <c r="G48" s="122">
        <f t="shared" si="3"/>
        <v>1</v>
      </c>
      <c r="H48" s="121">
        <v>0</v>
      </c>
      <c r="I48" s="123">
        <f t="shared" si="1"/>
        <v>10</v>
      </c>
      <c r="J48" s="124"/>
    </row>
    <row r="49" spans="1:10" s="119" customFormat="1" ht="18" customHeight="1">
      <c r="A49" s="80" t="s">
        <v>143</v>
      </c>
      <c r="B49" s="125">
        <v>83</v>
      </c>
      <c r="C49" s="121">
        <v>39</v>
      </c>
      <c r="D49" s="121"/>
      <c r="E49" s="121"/>
      <c r="F49" s="121">
        <v>19</v>
      </c>
      <c r="G49" s="122">
        <f aca="true" t="shared" si="4" ref="G49:G67">C49/B49</f>
        <v>0.46987951807228917</v>
      </c>
      <c r="H49" s="121">
        <v>20</v>
      </c>
      <c r="I49" s="123">
        <f t="shared" si="1"/>
        <v>19</v>
      </c>
      <c r="J49" s="124">
        <f t="shared" si="2"/>
        <v>0.95</v>
      </c>
    </row>
    <row r="50" spans="1:10" s="119" customFormat="1" ht="18" customHeight="1">
      <c r="A50" s="80" t="s">
        <v>144</v>
      </c>
      <c r="B50" s="125">
        <v>7</v>
      </c>
      <c r="C50" s="121"/>
      <c r="D50" s="121"/>
      <c r="E50" s="121"/>
      <c r="F50" s="121"/>
      <c r="G50" s="122">
        <f t="shared" si="4"/>
        <v>0</v>
      </c>
      <c r="H50" s="121">
        <v>1</v>
      </c>
      <c r="I50" s="123">
        <f t="shared" si="1"/>
        <v>-1</v>
      </c>
      <c r="J50" s="124">
        <f t="shared" si="2"/>
        <v>-1</v>
      </c>
    </row>
    <row r="51" spans="1:10" s="119" customFormat="1" ht="18" customHeight="1">
      <c r="A51" s="80" t="s">
        <v>145</v>
      </c>
      <c r="B51" s="125">
        <v>6412</v>
      </c>
      <c r="C51" s="121">
        <v>1816</v>
      </c>
      <c r="D51" s="121"/>
      <c r="E51" s="121"/>
      <c r="F51" s="121">
        <v>675</v>
      </c>
      <c r="G51" s="122">
        <f t="shared" si="4"/>
        <v>0.2832189644416719</v>
      </c>
      <c r="H51" s="121">
        <v>1063</v>
      </c>
      <c r="I51" s="123">
        <f t="shared" si="1"/>
        <v>753</v>
      </c>
      <c r="J51" s="124">
        <f t="shared" si="2"/>
        <v>0.7083725305738476</v>
      </c>
    </row>
    <row r="52" spans="1:10" s="119" customFormat="1" ht="18" customHeight="1">
      <c r="A52" s="80" t="s">
        <v>146</v>
      </c>
      <c r="B52" s="125">
        <v>3944</v>
      </c>
      <c r="C52" s="121">
        <v>925</v>
      </c>
      <c r="D52" s="121"/>
      <c r="E52" s="121"/>
      <c r="F52" s="121">
        <v>245</v>
      </c>
      <c r="G52" s="122">
        <f t="shared" si="4"/>
        <v>0.23453346855983773</v>
      </c>
      <c r="H52" s="121">
        <v>301</v>
      </c>
      <c r="I52" s="123">
        <f t="shared" si="1"/>
        <v>624</v>
      </c>
      <c r="J52" s="124">
        <f t="shared" si="2"/>
        <v>2.0730897009966776</v>
      </c>
    </row>
    <row r="53" spans="1:10" s="119" customFormat="1" ht="18" customHeight="1">
      <c r="A53" s="80" t="s">
        <v>147</v>
      </c>
      <c r="B53" s="125">
        <v>303</v>
      </c>
      <c r="C53" s="121">
        <v>220</v>
      </c>
      <c r="D53" s="121"/>
      <c r="E53" s="121"/>
      <c r="F53" s="121">
        <v>59</v>
      </c>
      <c r="G53" s="122">
        <f t="shared" si="4"/>
        <v>0.7260726072607261</v>
      </c>
      <c r="H53" s="121">
        <v>201</v>
      </c>
      <c r="I53" s="123">
        <f t="shared" si="1"/>
        <v>19</v>
      </c>
      <c r="J53" s="124">
        <f t="shared" si="2"/>
        <v>0.0945273631840796</v>
      </c>
    </row>
    <row r="54" spans="1:10" s="119" customFormat="1" ht="18" customHeight="1">
      <c r="A54" s="80" t="s">
        <v>148</v>
      </c>
      <c r="B54" s="125">
        <v>404.6533</v>
      </c>
      <c r="C54" s="121">
        <v>164</v>
      </c>
      <c r="D54" s="121"/>
      <c r="E54" s="121"/>
      <c r="F54" s="121">
        <v>86</v>
      </c>
      <c r="G54" s="122">
        <f t="shared" si="4"/>
        <v>0.40528521576371673</v>
      </c>
      <c r="H54" s="121">
        <v>124</v>
      </c>
      <c r="I54" s="123">
        <f t="shared" si="1"/>
        <v>40</v>
      </c>
      <c r="J54" s="124">
        <f t="shared" si="2"/>
        <v>0.3225806451612903</v>
      </c>
    </row>
    <row r="55" spans="1:10" s="119" customFormat="1" ht="18" customHeight="1">
      <c r="A55" s="80" t="s">
        <v>149</v>
      </c>
      <c r="B55" s="125">
        <v>1760.0156</v>
      </c>
      <c r="C55" s="121">
        <v>440</v>
      </c>
      <c r="D55" s="121"/>
      <c r="E55" s="121"/>
      <c r="F55" s="121">
        <v>285</v>
      </c>
      <c r="G55" s="122">
        <f t="shared" si="4"/>
        <v>0.24999778411054993</v>
      </c>
      <c r="H55" s="121">
        <v>384</v>
      </c>
      <c r="I55" s="123">
        <f t="shared" si="1"/>
        <v>56</v>
      </c>
      <c r="J55" s="124">
        <f t="shared" si="2"/>
        <v>0.14583333333333334</v>
      </c>
    </row>
    <row r="56" spans="1:10" s="119" customFormat="1" ht="18" customHeight="1">
      <c r="A56" s="80" t="s">
        <v>150</v>
      </c>
      <c r="B56" s="120"/>
      <c r="C56" s="121">
        <v>67</v>
      </c>
      <c r="D56" s="121"/>
      <c r="E56" s="121"/>
      <c r="F56" s="121"/>
      <c r="G56" s="122"/>
      <c r="H56" s="121">
        <v>53</v>
      </c>
      <c r="I56" s="123">
        <f t="shared" si="1"/>
        <v>14</v>
      </c>
      <c r="J56" s="124">
        <f t="shared" si="2"/>
        <v>0.2641509433962264</v>
      </c>
    </row>
    <row r="57" spans="1:10" s="119" customFormat="1" ht="18" customHeight="1">
      <c r="A57" s="80" t="s">
        <v>151</v>
      </c>
      <c r="B57" s="120">
        <v>53469</v>
      </c>
      <c r="C57" s="121">
        <v>30715</v>
      </c>
      <c r="D57" s="121"/>
      <c r="E57" s="121">
        <v>627</v>
      </c>
      <c r="F57" s="121">
        <v>6175</v>
      </c>
      <c r="G57" s="122">
        <f t="shared" si="4"/>
        <v>0.5744450055172156</v>
      </c>
      <c r="H57" s="121">
        <v>30556</v>
      </c>
      <c r="I57" s="123">
        <f t="shared" si="1"/>
        <v>159</v>
      </c>
      <c r="J57" s="124">
        <f t="shared" si="2"/>
        <v>0.005203560675481084</v>
      </c>
    </row>
    <row r="58" spans="1:10" s="119" customFormat="1" ht="18" customHeight="1">
      <c r="A58" s="80" t="s">
        <v>152</v>
      </c>
      <c r="B58" s="125">
        <v>2491</v>
      </c>
      <c r="C58" s="121">
        <v>1103</v>
      </c>
      <c r="D58" s="121"/>
      <c r="E58" s="121"/>
      <c r="F58" s="121">
        <v>616</v>
      </c>
      <c r="G58" s="122">
        <f t="shared" si="4"/>
        <v>0.4427940586109996</v>
      </c>
      <c r="H58" s="121">
        <v>716</v>
      </c>
      <c r="I58" s="123">
        <f t="shared" si="1"/>
        <v>387</v>
      </c>
      <c r="J58" s="124">
        <f t="shared" si="2"/>
        <v>0.5405027932960894</v>
      </c>
    </row>
    <row r="59" spans="1:10" s="119" customFormat="1" ht="18" customHeight="1">
      <c r="A59" s="80" t="s">
        <v>153</v>
      </c>
      <c r="B59" s="125">
        <v>1893</v>
      </c>
      <c r="C59" s="121">
        <v>617</v>
      </c>
      <c r="D59" s="121"/>
      <c r="E59" s="121"/>
      <c r="F59" s="121">
        <v>245</v>
      </c>
      <c r="G59" s="122">
        <f t="shared" si="4"/>
        <v>0.3259376650818806</v>
      </c>
      <c r="H59" s="121">
        <v>366</v>
      </c>
      <c r="I59" s="123">
        <f t="shared" si="1"/>
        <v>251</v>
      </c>
      <c r="J59" s="124">
        <f t="shared" si="2"/>
        <v>0.6857923497267759</v>
      </c>
    </row>
    <row r="60" spans="1:10" s="119" customFormat="1" ht="18" customHeight="1">
      <c r="A60" s="80" t="s">
        <v>154</v>
      </c>
      <c r="B60" s="125">
        <v>35048</v>
      </c>
      <c r="C60" s="121">
        <v>15700</v>
      </c>
      <c r="D60" s="121"/>
      <c r="E60" s="121"/>
      <c r="F60" s="121">
        <v>130</v>
      </c>
      <c r="G60" s="122">
        <f t="shared" si="4"/>
        <v>0.4479570874229628</v>
      </c>
      <c r="H60" s="121">
        <v>14911</v>
      </c>
      <c r="I60" s="123">
        <f t="shared" si="1"/>
        <v>789</v>
      </c>
      <c r="J60" s="124">
        <f t="shared" si="2"/>
        <v>0.05291395613976259</v>
      </c>
    </row>
    <row r="61" spans="1:10" s="119" customFormat="1" ht="18" customHeight="1">
      <c r="A61" s="80" t="s">
        <v>155</v>
      </c>
      <c r="B61" s="125">
        <v>3315</v>
      </c>
      <c r="C61" s="121">
        <v>1611</v>
      </c>
      <c r="D61" s="121"/>
      <c r="E61" s="121"/>
      <c r="F61" s="121">
        <v>4600</v>
      </c>
      <c r="G61" s="122">
        <f t="shared" si="4"/>
        <v>0.485972850678733</v>
      </c>
      <c r="H61" s="121">
        <v>4610</v>
      </c>
      <c r="I61" s="123">
        <f t="shared" si="1"/>
        <v>-2999</v>
      </c>
      <c r="J61" s="124">
        <f t="shared" si="2"/>
        <v>-0.6505422993492408</v>
      </c>
    </row>
    <row r="62" spans="1:10" s="119" customFormat="1" ht="18" customHeight="1">
      <c r="A62" s="80" t="s">
        <v>156</v>
      </c>
      <c r="B62" s="125">
        <v>1046</v>
      </c>
      <c r="C62" s="121">
        <v>505</v>
      </c>
      <c r="D62" s="121"/>
      <c r="E62" s="121"/>
      <c r="F62" s="121">
        <v>103</v>
      </c>
      <c r="G62" s="122">
        <f t="shared" si="4"/>
        <v>0.48279158699808794</v>
      </c>
      <c r="H62" s="121">
        <v>399</v>
      </c>
      <c r="I62" s="123">
        <f t="shared" si="1"/>
        <v>106</v>
      </c>
      <c r="J62" s="124">
        <f t="shared" si="2"/>
        <v>0.2656641604010025</v>
      </c>
    </row>
    <row r="63" spans="1:10" s="119" customFormat="1" ht="18" customHeight="1">
      <c r="A63" s="80" t="s">
        <v>157</v>
      </c>
      <c r="B63" s="125">
        <v>100</v>
      </c>
      <c r="C63" s="121">
        <v>0</v>
      </c>
      <c r="D63" s="121"/>
      <c r="E63" s="121"/>
      <c r="F63" s="121"/>
      <c r="G63" s="122">
        <f t="shared" si="4"/>
        <v>0</v>
      </c>
      <c r="H63" s="121">
        <v>4</v>
      </c>
      <c r="I63" s="123">
        <f t="shared" si="1"/>
        <v>-4</v>
      </c>
      <c r="J63" s="124">
        <f t="shared" si="2"/>
        <v>-1</v>
      </c>
    </row>
    <row r="64" spans="1:10" s="119" customFormat="1" ht="18" customHeight="1">
      <c r="A64" s="80" t="s">
        <v>158</v>
      </c>
      <c r="B64" s="125">
        <v>1267</v>
      </c>
      <c r="C64" s="121">
        <v>195</v>
      </c>
      <c r="D64" s="121"/>
      <c r="E64" s="121"/>
      <c r="F64" s="121">
        <v>142</v>
      </c>
      <c r="G64" s="122">
        <f t="shared" si="4"/>
        <v>0.15390686661404893</v>
      </c>
      <c r="H64" s="121">
        <v>153</v>
      </c>
      <c r="I64" s="123">
        <f t="shared" si="1"/>
        <v>42</v>
      </c>
      <c r="J64" s="124">
        <f t="shared" si="2"/>
        <v>0.27450980392156865</v>
      </c>
    </row>
    <row r="65" spans="1:10" s="119" customFormat="1" ht="18" customHeight="1">
      <c r="A65" s="80" t="s">
        <v>159</v>
      </c>
      <c r="B65" s="125">
        <v>323</v>
      </c>
      <c r="C65" s="121">
        <v>82</v>
      </c>
      <c r="D65" s="121"/>
      <c r="E65" s="121"/>
      <c r="F65" s="121">
        <v>18</v>
      </c>
      <c r="G65" s="122">
        <f t="shared" si="4"/>
        <v>0.25386996904024767</v>
      </c>
      <c r="H65" s="121">
        <v>79</v>
      </c>
      <c r="I65" s="123">
        <f t="shared" si="1"/>
        <v>3</v>
      </c>
      <c r="J65" s="124">
        <f t="shared" si="2"/>
        <v>0.0379746835443038</v>
      </c>
    </row>
    <row r="66" spans="1:10" s="119" customFormat="1" ht="18" customHeight="1">
      <c r="A66" s="80" t="s">
        <v>160</v>
      </c>
      <c r="B66" s="125">
        <v>2125</v>
      </c>
      <c r="C66" s="121">
        <v>882</v>
      </c>
      <c r="D66" s="121"/>
      <c r="E66" s="121"/>
      <c r="F66" s="121">
        <v>240</v>
      </c>
      <c r="G66" s="122">
        <f t="shared" si="4"/>
        <v>0.41505882352941176</v>
      </c>
      <c r="H66" s="121">
        <v>793</v>
      </c>
      <c r="I66" s="123">
        <f t="shared" si="1"/>
        <v>89</v>
      </c>
      <c r="J66" s="124">
        <f t="shared" si="2"/>
        <v>0.11223203026481715</v>
      </c>
    </row>
    <row r="67" spans="1:10" s="119" customFormat="1" ht="18" customHeight="1">
      <c r="A67" s="80" t="s">
        <v>161</v>
      </c>
      <c r="B67" s="125">
        <v>1660</v>
      </c>
      <c r="C67" s="121">
        <v>1080</v>
      </c>
      <c r="D67" s="121"/>
      <c r="E67" s="121">
        <v>107</v>
      </c>
      <c r="F67" s="121">
        <v>38</v>
      </c>
      <c r="G67" s="122">
        <f t="shared" si="4"/>
        <v>0.6506024096385542</v>
      </c>
      <c r="H67" s="121">
        <v>265</v>
      </c>
      <c r="I67" s="123">
        <f t="shared" si="1"/>
        <v>815</v>
      </c>
      <c r="J67" s="124">
        <f t="shared" si="2"/>
        <v>3.0754716981132075</v>
      </c>
    </row>
    <row r="68" spans="1:10" s="119" customFormat="1" ht="18" customHeight="1">
      <c r="A68" s="80" t="s">
        <v>40</v>
      </c>
      <c r="B68" s="125">
        <v>100</v>
      </c>
      <c r="C68" s="121">
        <v>400</v>
      </c>
      <c r="D68" s="121"/>
      <c r="E68" s="121">
        <v>520</v>
      </c>
      <c r="F68" s="121"/>
      <c r="G68" s="122"/>
      <c r="H68" s="121">
        <v>520</v>
      </c>
      <c r="I68" s="123">
        <f t="shared" si="1"/>
        <v>-120</v>
      </c>
      <c r="J68" s="124">
        <f t="shared" si="2"/>
        <v>-0.23076923076923078</v>
      </c>
    </row>
    <row r="69" spans="1:10" s="119" customFormat="1" ht="18" customHeight="1">
      <c r="A69" s="80" t="s">
        <v>162</v>
      </c>
      <c r="B69" s="125">
        <v>123</v>
      </c>
      <c r="C69" s="121">
        <v>62</v>
      </c>
      <c r="D69" s="121"/>
      <c r="E69" s="121"/>
      <c r="F69" s="121">
        <v>43</v>
      </c>
      <c r="G69" s="122">
        <f aca="true" t="shared" si="5" ref="G69:G80">C69/B69</f>
        <v>0.5040650406504065</v>
      </c>
      <c r="H69" s="121">
        <v>49</v>
      </c>
      <c r="I69" s="123">
        <f aca="true" t="shared" si="6" ref="I69:I133">C69-H69</f>
        <v>13</v>
      </c>
      <c r="J69" s="124">
        <f t="shared" si="2"/>
        <v>0.2653061224489796</v>
      </c>
    </row>
    <row r="70" spans="1:10" s="119" customFormat="1" ht="18" customHeight="1">
      <c r="A70" s="127" t="s">
        <v>163</v>
      </c>
      <c r="B70" s="125">
        <v>1891</v>
      </c>
      <c r="C70" s="121">
        <v>6259</v>
      </c>
      <c r="D70" s="121"/>
      <c r="E70" s="121"/>
      <c r="F70" s="121"/>
      <c r="G70" s="122">
        <f t="shared" si="5"/>
        <v>3.3098889476467477</v>
      </c>
      <c r="H70" s="121">
        <v>6304</v>
      </c>
      <c r="I70" s="123">
        <f t="shared" si="6"/>
        <v>-45</v>
      </c>
      <c r="J70" s="124">
        <f aca="true" t="shared" si="7" ref="J70:J135">I70/H70</f>
        <v>-0.007138324873096446</v>
      </c>
    </row>
    <row r="71" spans="1:10" s="119" customFormat="1" ht="18" customHeight="1">
      <c r="A71" s="80" t="s">
        <v>164</v>
      </c>
      <c r="B71" s="125">
        <v>230</v>
      </c>
      <c r="C71" s="121">
        <v>256</v>
      </c>
      <c r="D71" s="121"/>
      <c r="E71" s="121"/>
      <c r="F71" s="121"/>
      <c r="G71" s="122">
        <f t="shared" si="5"/>
        <v>1.1130434782608696</v>
      </c>
      <c r="H71" s="121">
        <v>12</v>
      </c>
      <c r="I71" s="123">
        <f t="shared" si="6"/>
        <v>244</v>
      </c>
      <c r="J71" s="124"/>
    </row>
    <row r="72" spans="1:10" s="119" customFormat="1" ht="18" customHeight="1">
      <c r="A72" s="80" t="s">
        <v>165</v>
      </c>
      <c r="B72" s="125">
        <v>1350</v>
      </c>
      <c r="C72" s="121">
        <v>1373</v>
      </c>
      <c r="D72" s="121"/>
      <c r="E72" s="121"/>
      <c r="F72" s="121"/>
      <c r="G72" s="122">
        <f t="shared" si="5"/>
        <v>1.017037037037037</v>
      </c>
      <c r="H72" s="121">
        <v>1219</v>
      </c>
      <c r="I72" s="123">
        <f t="shared" si="6"/>
        <v>154</v>
      </c>
      <c r="J72" s="124">
        <f t="shared" si="7"/>
        <v>0.12633305988515175</v>
      </c>
    </row>
    <row r="73" spans="1:10" s="119" customFormat="1" ht="18" customHeight="1">
      <c r="A73" s="127" t="s">
        <v>166</v>
      </c>
      <c r="B73" s="125">
        <v>60</v>
      </c>
      <c r="C73" s="121"/>
      <c r="D73" s="121"/>
      <c r="E73" s="121"/>
      <c r="F73" s="121"/>
      <c r="G73" s="122">
        <f t="shared" si="5"/>
        <v>0</v>
      </c>
      <c r="H73" s="121">
        <v>47</v>
      </c>
      <c r="I73" s="123">
        <f t="shared" si="6"/>
        <v>-47</v>
      </c>
      <c r="J73" s="124">
        <f t="shared" si="7"/>
        <v>-1</v>
      </c>
    </row>
    <row r="74" spans="1:10" s="119" customFormat="1" ht="18" customHeight="1">
      <c r="A74" s="80" t="s">
        <v>167</v>
      </c>
      <c r="B74" s="125">
        <v>447</v>
      </c>
      <c r="C74" s="121">
        <v>590</v>
      </c>
      <c r="D74" s="121"/>
      <c r="E74" s="121"/>
      <c r="F74" s="121"/>
      <c r="G74" s="122">
        <f t="shared" si="5"/>
        <v>1.319910514541387</v>
      </c>
      <c r="H74" s="121">
        <v>109</v>
      </c>
      <c r="I74" s="123">
        <f t="shared" si="6"/>
        <v>481</v>
      </c>
      <c r="J74" s="124">
        <f t="shared" si="7"/>
        <v>4.412844036697248</v>
      </c>
    </row>
    <row r="75" spans="1:10" s="119" customFormat="1" ht="18" customHeight="1">
      <c r="A75" s="80" t="s">
        <v>168</v>
      </c>
      <c r="B75" s="120">
        <v>22168</v>
      </c>
      <c r="C75" s="121">
        <f>SUM(C76:C83)+1</f>
        <v>8700</v>
      </c>
      <c r="D75" s="121"/>
      <c r="E75" s="121">
        <v>15</v>
      </c>
      <c r="F75" s="121">
        <v>3601</v>
      </c>
      <c r="G75" s="122">
        <f t="shared" si="5"/>
        <v>0.39245759653554674</v>
      </c>
      <c r="H75" s="121">
        <v>11227</v>
      </c>
      <c r="I75" s="123">
        <f t="shared" si="6"/>
        <v>-2527</v>
      </c>
      <c r="J75" s="124">
        <f t="shared" si="7"/>
        <v>-0.2250823906653603</v>
      </c>
    </row>
    <row r="76" spans="1:10" s="119" customFormat="1" ht="18" customHeight="1">
      <c r="A76" s="80" t="s">
        <v>169</v>
      </c>
      <c r="B76" s="125">
        <v>1018</v>
      </c>
      <c r="C76" s="121">
        <v>300</v>
      </c>
      <c r="D76" s="121"/>
      <c r="E76" s="121"/>
      <c r="F76" s="121">
        <v>265</v>
      </c>
      <c r="G76" s="122">
        <f t="shared" si="5"/>
        <v>0.29469548133595286</v>
      </c>
      <c r="H76" s="121">
        <v>287</v>
      </c>
      <c r="I76" s="123">
        <f t="shared" si="6"/>
        <v>13</v>
      </c>
      <c r="J76" s="124">
        <f t="shared" si="7"/>
        <v>0.04529616724738676</v>
      </c>
    </row>
    <row r="77" spans="1:10" s="119" customFormat="1" ht="18" customHeight="1">
      <c r="A77" s="80" t="s">
        <v>170</v>
      </c>
      <c r="B77" s="125">
        <v>3878</v>
      </c>
      <c r="C77" s="121">
        <v>1644</v>
      </c>
      <c r="D77" s="121"/>
      <c r="E77" s="121"/>
      <c r="F77" s="121">
        <v>407</v>
      </c>
      <c r="G77" s="122">
        <f t="shared" si="5"/>
        <v>0.42392986075296546</v>
      </c>
      <c r="H77" s="121">
        <v>407</v>
      </c>
      <c r="I77" s="123">
        <f t="shared" si="6"/>
        <v>1237</v>
      </c>
      <c r="J77" s="124">
        <f t="shared" si="7"/>
        <v>3.039312039312039</v>
      </c>
    </row>
    <row r="78" spans="1:10" s="119" customFormat="1" ht="18" customHeight="1">
      <c r="A78" s="80" t="s">
        <v>171</v>
      </c>
      <c r="B78" s="125">
        <v>4817</v>
      </c>
      <c r="C78" s="121">
        <v>852</v>
      </c>
      <c r="D78" s="121"/>
      <c r="E78" s="121"/>
      <c r="F78" s="121">
        <v>919</v>
      </c>
      <c r="G78" s="122">
        <f t="shared" si="5"/>
        <v>0.17687357276313057</v>
      </c>
      <c r="H78" s="121">
        <v>919</v>
      </c>
      <c r="I78" s="123">
        <f t="shared" si="6"/>
        <v>-67</v>
      </c>
      <c r="J78" s="124">
        <f t="shared" si="7"/>
        <v>-0.07290533188248095</v>
      </c>
    </row>
    <row r="79" spans="1:10" s="119" customFormat="1" ht="18" customHeight="1">
      <c r="A79" s="80" t="s">
        <v>172</v>
      </c>
      <c r="B79" s="125">
        <v>3313</v>
      </c>
      <c r="C79" s="121">
        <v>981</v>
      </c>
      <c r="D79" s="121"/>
      <c r="E79" s="121">
        <v>15</v>
      </c>
      <c r="F79" s="121">
        <v>543</v>
      </c>
      <c r="G79" s="122">
        <f t="shared" si="5"/>
        <v>0.2961062481134923</v>
      </c>
      <c r="H79" s="121">
        <v>3741</v>
      </c>
      <c r="I79" s="123">
        <f t="shared" si="6"/>
        <v>-2760</v>
      </c>
      <c r="J79" s="124">
        <f t="shared" si="7"/>
        <v>-0.7377706495589414</v>
      </c>
    </row>
    <row r="80" spans="1:10" s="119" customFormat="1" ht="18" customHeight="1">
      <c r="A80" s="80" t="s">
        <v>173</v>
      </c>
      <c r="B80" s="125">
        <v>5404</v>
      </c>
      <c r="C80" s="121">
        <v>3480</v>
      </c>
      <c r="D80" s="121"/>
      <c r="E80" s="121"/>
      <c r="F80" s="121">
        <v>405</v>
      </c>
      <c r="G80" s="122">
        <f t="shared" si="5"/>
        <v>0.6439674315321984</v>
      </c>
      <c r="H80" s="121">
        <v>3825</v>
      </c>
      <c r="I80" s="123">
        <f t="shared" si="6"/>
        <v>-345</v>
      </c>
      <c r="J80" s="124">
        <f t="shared" si="7"/>
        <v>-0.09019607843137255</v>
      </c>
    </row>
    <row r="81" spans="1:10" s="119" customFormat="1" ht="18" customHeight="1">
      <c r="A81" s="80" t="s">
        <v>174</v>
      </c>
      <c r="B81" s="125">
        <v>3320</v>
      </c>
      <c r="C81" s="121">
        <v>1253</v>
      </c>
      <c r="D81" s="121"/>
      <c r="E81" s="121"/>
      <c r="F81" s="121">
        <v>928</v>
      </c>
      <c r="G81" s="122">
        <f aca="true" t="shared" si="8" ref="G81:G86">C81/B81</f>
        <v>0.3774096385542169</v>
      </c>
      <c r="H81" s="121">
        <v>1874</v>
      </c>
      <c r="I81" s="123">
        <f t="shared" si="6"/>
        <v>-621</v>
      </c>
      <c r="J81" s="124">
        <f t="shared" si="7"/>
        <v>-0.3313767342582711</v>
      </c>
    </row>
    <row r="82" spans="1:10" s="119" customFormat="1" ht="18" customHeight="1">
      <c r="A82" s="80" t="s">
        <v>175</v>
      </c>
      <c r="B82" s="120">
        <v>418</v>
      </c>
      <c r="C82" s="121">
        <v>189</v>
      </c>
      <c r="D82" s="121"/>
      <c r="E82" s="121"/>
      <c r="F82" s="121">
        <v>134</v>
      </c>
      <c r="G82" s="122">
        <f t="shared" si="8"/>
        <v>0.45215311004784686</v>
      </c>
      <c r="H82" s="121">
        <v>164</v>
      </c>
      <c r="I82" s="123">
        <f t="shared" si="6"/>
        <v>25</v>
      </c>
      <c r="J82" s="124">
        <f t="shared" si="7"/>
        <v>0.1524390243902439</v>
      </c>
    </row>
    <row r="83" spans="1:10" s="119" customFormat="1" ht="18" customHeight="1">
      <c r="A83" s="80" t="s">
        <v>176</v>
      </c>
      <c r="B83" s="120"/>
      <c r="C83" s="121">
        <v>0</v>
      </c>
      <c r="D83" s="121"/>
      <c r="E83" s="121"/>
      <c r="F83" s="121"/>
      <c r="G83" s="122"/>
      <c r="H83" s="121">
        <v>10</v>
      </c>
      <c r="I83" s="123">
        <f t="shared" si="6"/>
        <v>-10</v>
      </c>
      <c r="J83" s="124"/>
    </row>
    <row r="84" spans="1:10" s="119" customFormat="1" ht="18" customHeight="1">
      <c r="A84" s="80" t="s">
        <v>177</v>
      </c>
      <c r="B84" s="120">
        <v>4209</v>
      </c>
      <c r="C84" s="121">
        <v>2021</v>
      </c>
      <c r="D84" s="121"/>
      <c r="E84" s="121">
        <v>25</v>
      </c>
      <c r="F84" s="121">
        <v>330</v>
      </c>
      <c r="G84" s="122">
        <f t="shared" si="8"/>
        <v>0.48016155856497983</v>
      </c>
      <c r="H84" s="121">
        <v>896</v>
      </c>
      <c r="I84" s="123">
        <f t="shared" si="6"/>
        <v>1125</v>
      </c>
      <c r="J84" s="124">
        <f t="shared" si="7"/>
        <v>1.2555803571428572</v>
      </c>
    </row>
    <row r="85" spans="1:10" s="119" customFormat="1" ht="18" customHeight="1">
      <c r="A85" s="80" t="s">
        <v>178</v>
      </c>
      <c r="B85" s="120">
        <v>531</v>
      </c>
      <c r="C85" s="121">
        <v>279</v>
      </c>
      <c r="D85" s="121"/>
      <c r="E85" s="121"/>
      <c r="F85" s="121">
        <v>330</v>
      </c>
      <c r="G85" s="122">
        <f t="shared" si="8"/>
        <v>0.5254237288135594</v>
      </c>
      <c r="H85" s="121">
        <v>339</v>
      </c>
      <c r="I85" s="123">
        <f t="shared" si="6"/>
        <v>-60</v>
      </c>
      <c r="J85" s="124">
        <f t="shared" si="7"/>
        <v>-0.17699115044247787</v>
      </c>
    </row>
    <row r="86" spans="1:10" s="119" customFormat="1" ht="18" customHeight="1">
      <c r="A86" s="80" t="s">
        <v>179</v>
      </c>
      <c r="B86" s="120">
        <v>3500</v>
      </c>
      <c r="C86" s="121">
        <v>1739</v>
      </c>
      <c r="D86" s="121"/>
      <c r="E86" s="121"/>
      <c r="F86" s="121"/>
      <c r="G86" s="122">
        <f t="shared" si="8"/>
        <v>0.49685714285714283</v>
      </c>
      <c r="H86" s="121">
        <v>502</v>
      </c>
      <c r="I86" s="123">
        <f t="shared" si="6"/>
        <v>1237</v>
      </c>
      <c r="J86" s="124">
        <f t="shared" si="7"/>
        <v>2.4641434262948207</v>
      </c>
    </row>
    <row r="87" spans="1:10" s="119" customFormat="1" ht="18" customHeight="1">
      <c r="A87" s="80" t="s">
        <v>180</v>
      </c>
      <c r="B87" s="120"/>
      <c r="C87" s="121"/>
      <c r="D87" s="121"/>
      <c r="E87" s="121"/>
      <c r="F87" s="121"/>
      <c r="G87" s="122"/>
      <c r="H87" s="121">
        <v>5</v>
      </c>
      <c r="I87" s="123">
        <f t="shared" si="6"/>
        <v>-5</v>
      </c>
      <c r="J87" s="124">
        <f t="shared" si="7"/>
        <v>-1</v>
      </c>
    </row>
    <row r="88" spans="1:10" s="119" customFormat="1" ht="18" customHeight="1">
      <c r="A88" s="80" t="s">
        <v>181</v>
      </c>
      <c r="B88" s="120">
        <v>10</v>
      </c>
      <c r="C88" s="121">
        <v>0</v>
      </c>
      <c r="D88" s="121"/>
      <c r="E88" s="121"/>
      <c r="F88" s="121"/>
      <c r="G88" s="122"/>
      <c r="H88" s="121">
        <v>0</v>
      </c>
      <c r="I88" s="123">
        <f t="shared" si="6"/>
        <v>0</v>
      </c>
      <c r="J88" s="124"/>
    </row>
    <row r="89" spans="1:10" s="119" customFormat="1" ht="18" customHeight="1">
      <c r="A89" s="80" t="s">
        <v>182</v>
      </c>
      <c r="B89" s="120"/>
      <c r="C89" s="121">
        <v>0</v>
      </c>
      <c r="D89" s="121"/>
      <c r="E89" s="121">
        <v>25</v>
      </c>
      <c r="F89" s="121"/>
      <c r="G89" s="122"/>
      <c r="H89" s="121">
        <v>49</v>
      </c>
      <c r="I89" s="123">
        <f t="shared" si="6"/>
        <v>-49</v>
      </c>
      <c r="J89" s="124"/>
    </row>
    <row r="90" spans="1:10" s="119" customFormat="1" ht="18" customHeight="1">
      <c r="A90" s="80" t="s">
        <v>183</v>
      </c>
      <c r="B90" s="120">
        <v>168</v>
      </c>
      <c r="C90" s="121">
        <v>3</v>
      </c>
      <c r="D90" s="121"/>
      <c r="E90" s="121"/>
      <c r="F90" s="121"/>
      <c r="G90" s="122">
        <f aca="true" t="shared" si="9" ref="G90:G95">C90/B90</f>
        <v>0.017857142857142856</v>
      </c>
      <c r="H90" s="121">
        <v>1</v>
      </c>
      <c r="I90" s="123">
        <f t="shared" si="6"/>
        <v>2</v>
      </c>
      <c r="J90" s="124"/>
    </row>
    <row r="91" spans="1:10" s="119" customFormat="1" ht="18" customHeight="1">
      <c r="A91" s="80" t="s">
        <v>184</v>
      </c>
      <c r="B91" s="120">
        <v>19417</v>
      </c>
      <c r="C91" s="121">
        <f>22403+1</f>
        <v>22404</v>
      </c>
      <c r="D91" s="121"/>
      <c r="E91" s="121"/>
      <c r="F91" s="121">
        <v>3162</v>
      </c>
      <c r="G91" s="122">
        <f t="shared" si="9"/>
        <v>1.153834268939589</v>
      </c>
      <c r="H91" s="121">
        <v>4568</v>
      </c>
      <c r="I91" s="123">
        <f t="shared" si="6"/>
        <v>17836</v>
      </c>
      <c r="J91" s="124">
        <f t="shared" si="7"/>
        <v>3.904553415061296</v>
      </c>
    </row>
    <row r="92" spans="1:10" s="119" customFormat="1" ht="18" customHeight="1">
      <c r="A92" s="80" t="s">
        <v>185</v>
      </c>
      <c r="B92" s="120">
        <v>4130</v>
      </c>
      <c r="C92" s="121">
        <v>1627</v>
      </c>
      <c r="D92" s="121"/>
      <c r="E92" s="121"/>
      <c r="F92" s="121">
        <v>857</v>
      </c>
      <c r="G92" s="122">
        <f t="shared" si="9"/>
        <v>0.39394673123486684</v>
      </c>
      <c r="H92" s="121">
        <v>1086</v>
      </c>
      <c r="I92" s="123">
        <f t="shared" si="6"/>
        <v>541</v>
      </c>
      <c r="J92" s="124">
        <f t="shared" si="7"/>
        <v>0.498158379373849</v>
      </c>
    </row>
    <row r="93" spans="1:10" s="119" customFormat="1" ht="18" customHeight="1">
      <c r="A93" s="80" t="s">
        <v>186</v>
      </c>
      <c r="B93" s="120">
        <v>2244</v>
      </c>
      <c r="C93" s="121">
        <v>607</v>
      </c>
      <c r="D93" s="121"/>
      <c r="E93" s="121"/>
      <c r="F93" s="121">
        <v>422</v>
      </c>
      <c r="G93" s="122">
        <f t="shared" si="9"/>
        <v>0.27049910873440286</v>
      </c>
      <c r="H93" s="121">
        <v>498</v>
      </c>
      <c r="I93" s="123">
        <f t="shared" si="6"/>
        <v>109</v>
      </c>
      <c r="J93" s="124">
        <f t="shared" si="7"/>
        <v>0.21887550200803213</v>
      </c>
    </row>
    <row r="94" spans="1:10" s="119" customFormat="1" ht="18" customHeight="1">
      <c r="A94" s="80" t="s">
        <v>187</v>
      </c>
      <c r="B94" s="120">
        <v>7464</v>
      </c>
      <c r="C94" s="121">
        <v>17764</v>
      </c>
      <c r="D94" s="121"/>
      <c r="E94" s="121"/>
      <c r="F94" s="121">
        <v>196</v>
      </c>
      <c r="G94" s="122">
        <f t="shared" si="9"/>
        <v>2.379957127545552</v>
      </c>
      <c r="H94" s="121">
        <v>1208</v>
      </c>
      <c r="I94" s="123">
        <f t="shared" si="6"/>
        <v>16556</v>
      </c>
      <c r="J94" s="124">
        <f t="shared" si="7"/>
        <v>13.705298013245033</v>
      </c>
    </row>
    <row r="95" spans="1:10" s="119" customFormat="1" ht="18" customHeight="1">
      <c r="A95" s="80" t="s">
        <v>188</v>
      </c>
      <c r="B95" s="120">
        <v>5579</v>
      </c>
      <c r="C95" s="121">
        <v>2405</v>
      </c>
      <c r="D95" s="121"/>
      <c r="E95" s="121"/>
      <c r="F95" s="121">
        <v>1687</v>
      </c>
      <c r="G95" s="122">
        <f t="shared" si="9"/>
        <v>0.43108083886001075</v>
      </c>
      <c r="H95" s="121">
        <v>1776</v>
      </c>
      <c r="I95" s="123">
        <f t="shared" si="6"/>
        <v>629</v>
      </c>
      <c r="J95" s="124">
        <f t="shared" si="7"/>
        <v>0.3541666666666667</v>
      </c>
    </row>
    <row r="96" spans="1:10" s="119" customFormat="1" ht="18" customHeight="1">
      <c r="A96" s="80" t="s">
        <v>189</v>
      </c>
      <c r="B96" s="120"/>
      <c r="C96" s="121">
        <v>0</v>
      </c>
      <c r="D96" s="121"/>
      <c r="E96" s="121"/>
      <c r="F96" s="121"/>
      <c r="G96" s="122"/>
      <c r="H96" s="121">
        <v>0</v>
      </c>
      <c r="I96" s="123">
        <f t="shared" si="6"/>
        <v>0</v>
      </c>
      <c r="J96" s="124"/>
    </row>
    <row r="97" spans="1:10" s="119" customFormat="1" ht="18" customHeight="1">
      <c r="A97" s="80" t="s">
        <v>190</v>
      </c>
      <c r="B97" s="120">
        <v>46280</v>
      </c>
      <c r="C97" s="121">
        <v>9532</v>
      </c>
      <c r="D97" s="121">
        <v>6</v>
      </c>
      <c r="E97" s="121">
        <v>80</v>
      </c>
      <c r="F97" s="121">
        <v>3449</v>
      </c>
      <c r="G97" s="122">
        <f aca="true" t="shared" si="10" ref="G97:G102">C97/B97</f>
        <v>0.20596369922212618</v>
      </c>
      <c r="H97" s="121">
        <v>22447</v>
      </c>
      <c r="I97" s="123">
        <f t="shared" si="6"/>
        <v>-12915</v>
      </c>
      <c r="J97" s="124">
        <f t="shared" si="7"/>
        <v>-0.5753552813293535</v>
      </c>
    </row>
    <row r="98" spans="1:10" s="119" customFormat="1" ht="18" customHeight="1">
      <c r="A98" s="80" t="s">
        <v>191</v>
      </c>
      <c r="B98" s="120">
        <v>19625</v>
      </c>
      <c r="C98" s="121">
        <v>3117</v>
      </c>
      <c r="D98" s="121">
        <v>6</v>
      </c>
      <c r="E98" s="121">
        <v>70</v>
      </c>
      <c r="F98" s="121">
        <v>1870</v>
      </c>
      <c r="G98" s="122">
        <f t="shared" si="10"/>
        <v>0.158828025477707</v>
      </c>
      <c r="H98" s="121">
        <v>3361</v>
      </c>
      <c r="I98" s="123">
        <f t="shared" si="6"/>
        <v>-244</v>
      </c>
      <c r="J98" s="124">
        <f t="shared" si="7"/>
        <v>-0.07259744123772686</v>
      </c>
    </row>
    <row r="99" spans="1:10" s="119" customFormat="1" ht="18" customHeight="1">
      <c r="A99" s="80" t="s">
        <v>192</v>
      </c>
      <c r="B99" s="120">
        <v>5782</v>
      </c>
      <c r="C99" s="121">
        <v>1491</v>
      </c>
      <c r="D99" s="121"/>
      <c r="E99" s="121"/>
      <c r="F99" s="121">
        <v>534</v>
      </c>
      <c r="G99" s="122">
        <f t="shared" si="10"/>
        <v>0.25786924939467315</v>
      </c>
      <c r="H99" s="121">
        <v>1395</v>
      </c>
      <c r="I99" s="123">
        <f t="shared" si="6"/>
        <v>96</v>
      </c>
      <c r="J99" s="124">
        <f t="shared" si="7"/>
        <v>0.06881720430107527</v>
      </c>
    </row>
    <row r="100" spans="1:10" s="119" customFormat="1" ht="18" customHeight="1">
      <c r="A100" s="80" t="s">
        <v>193</v>
      </c>
      <c r="B100" s="120">
        <v>9858</v>
      </c>
      <c r="C100" s="121">
        <v>2578</v>
      </c>
      <c r="D100" s="121"/>
      <c r="E100" s="121">
        <v>10</v>
      </c>
      <c r="F100" s="121">
        <v>950</v>
      </c>
      <c r="G100" s="122">
        <f t="shared" si="10"/>
        <v>0.2615134915804423</v>
      </c>
      <c r="H100" s="121">
        <v>17384</v>
      </c>
      <c r="I100" s="123">
        <f t="shared" si="6"/>
        <v>-14806</v>
      </c>
      <c r="J100" s="124">
        <f t="shared" si="7"/>
        <v>-0.851702715140359</v>
      </c>
    </row>
    <row r="101" spans="1:10" s="119" customFormat="1" ht="18" customHeight="1">
      <c r="A101" s="80" t="s">
        <v>194</v>
      </c>
      <c r="B101" s="120">
        <v>410</v>
      </c>
      <c r="C101" s="121">
        <v>200</v>
      </c>
      <c r="D101" s="121"/>
      <c r="E101" s="121"/>
      <c r="F101" s="121"/>
      <c r="G101" s="122">
        <f t="shared" si="10"/>
        <v>0.4878048780487805</v>
      </c>
      <c r="H101" s="121">
        <v>0</v>
      </c>
      <c r="I101" s="123">
        <f t="shared" si="6"/>
        <v>200</v>
      </c>
      <c r="J101" s="124"/>
    </row>
    <row r="102" spans="1:10" s="119" customFormat="1" ht="18" customHeight="1">
      <c r="A102" s="80" t="s">
        <v>195</v>
      </c>
      <c r="B102" s="120">
        <v>297</v>
      </c>
      <c r="C102" s="121">
        <v>140</v>
      </c>
      <c r="D102" s="121"/>
      <c r="E102" s="121"/>
      <c r="F102" s="121">
        <v>95</v>
      </c>
      <c r="G102" s="122">
        <f t="shared" si="10"/>
        <v>0.4713804713804714</v>
      </c>
      <c r="H102" s="121">
        <v>107</v>
      </c>
      <c r="I102" s="123">
        <f t="shared" si="6"/>
        <v>33</v>
      </c>
      <c r="J102" s="124">
        <f t="shared" si="7"/>
        <v>0.308411214953271</v>
      </c>
    </row>
    <row r="103" spans="1:10" s="119" customFormat="1" ht="18" customHeight="1">
      <c r="A103" s="80" t="s">
        <v>196</v>
      </c>
      <c r="B103" s="120">
        <v>6964</v>
      </c>
      <c r="C103" s="121">
        <v>702</v>
      </c>
      <c r="D103" s="121"/>
      <c r="E103" s="121"/>
      <c r="F103" s="121"/>
      <c r="G103" s="122"/>
      <c r="H103" s="121">
        <v>0</v>
      </c>
      <c r="I103" s="123">
        <f t="shared" si="6"/>
        <v>702</v>
      </c>
      <c r="J103" s="124"/>
    </row>
    <row r="104" spans="1:10" s="119" customFormat="1" ht="18" customHeight="1">
      <c r="A104" s="80" t="s">
        <v>297</v>
      </c>
      <c r="B104" s="120">
        <v>3344</v>
      </c>
      <c r="C104" s="121">
        <v>1304</v>
      </c>
      <c r="D104" s="121"/>
      <c r="E104" s="121"/>
      <c r="F104" s="121"/>
      <c r="G104" s="122"/>
      <c r="H104" s="121">
        <v>0</v>
      </c>
      <c r="I104" s="123">
        <f t="shared" si="6"/>
        <v>1304</v>
      </c>
      <c r="J104" s="124"/>
    </row>
    <row r="105" spans="1:10" s="119" customFormat="1" ht="18" customHeight="1">
      <c r="A105" s="80" t="s">
        <v>197</v>
      </c>
      <c r="B105" s="120"/>
      <c r="C105" s="121"/>
      <c r="D105" s="121"/>
      <c r="E105" s="121"/>
      <c r="F105" s="121"/>
      <c r="G105" s="122"/>
      <c r="H105" s="121">
        <v>200</v>
      </c>
      <c r="I105" s="123">
        <f t="shared" si="6"/>
        <v>-200</v>
      </c>
      <c r="J105" s="124"/>
    </row>
    <row r="106" spans="1:10" s="119" customFormat="1" ht="18" customHeight="1">
      <c r="A106" s="80" t="s">
        <v>198</v>
      </c>
      <c r="B106" s="120">
        <v>15806</v>
      </c>
      <c r="C106" s="121">
        <v>5146</v>
      </c>
      <c r="D106" s="121"/>
      <c r="E106" s="121">
        <v>1391</v>
      </c>
      <c r="F106" s="121">
        <v>1304</v>
      </c>
      <c r="G106" s="122">
        <f>C106/B106</f>
        <v>0.32557256737947615</v>
      </c>
      <c r="H106" s="121">
        <v>9020</v>
      </c>
      <c r="I106" s="123">
        <f t="shared" si="6"/>
        <v>-3874</v>
      </c>
      <c r="J106" s="124">
        <f t="shared" si="7"/>
        <v>-0.429490022172949</v>
      </c>
    </row>
    <row r="107" spans="1:10" s="119" customFormat="1" ht="18" customHeight="1">
      <c r="A107" s="80" t="s">
        <v>199</v>
      </c>
      <c r="B107" s="120">
        <v>15806</v>
      </c>
      <c r="C107" s="121">
        <v>5146</v>
      </c>
      <c r="D107" s="121"/>
      <c r="E107" s="121"/>
      <c r="F107" s="121">
        <v>1304</v>
      </c>
      <c r="G107" s="122">
        <f>C107/B107</f>
        <v>0.32557256737947615</v>
      </c>
      <c r="H107" s="121">
        <v>7629</v>
      </c>
      <c r="I107" s="123">
        <f t="shared" si="6"/>
        <v>-2483</v>
      </c>
      <c r="J107" s="124">
        <f t="shared" si="7"/>
        <v>-0.3254686066325862</v>
      </c>
    </row>
    <row r="108" spans="1:10" s="119" customFormat="1" ht="18" customHeight="1">
      <c r="A108" s="80" t="s">
        <v>232</v>
      </c>
      <c r="B108" s="120"/>
      <c r="C108" s="121"/>
      <c r="D108" s="121"/>
      <c r="E108" s="121"/>
      <c r="F108" s="121"/>
      <c r="G108" s="122"/>
      <c r="H108" s="121"/>
      <c r="I108" s="123">
        <f t="shared" si="6"/>
        <v>0</v>
      </c>
      <c r="J108" s="124"/>
    </row>
    <row r="109" spans="1:10" s="119" customFormat="1" ht="18" customHeight="1">
      <c r="A109" s="80" t="s">
        <v>348</v>
      </c>
      <c r="B109" s="120"/>
      <c r="C109" s="121"/>
      <c r="D109" s="121"/>
      <c r="E109" s="121">
        <v>1391</v>
      </c>
      <c r="F109" s="121"/>
      <c r="G109" s="122"/>
      <c r="H109" s="121">
        <v>1391</v>
      </c>
      <c r="I109" s="123">
        <f t="shared" si="6"/>
        <v>-1391</v>
      </c>
      <c r="J109" s="124">
        <f t="shared" si="7"/>
        <v>-1</v>
      </c>
    </row>
    <row r="110" spans="1:10" s="119" customFormat="1" ht="18" customHeight="1">
      <c r="A110" s="80" t="s">
        <v>200</v>
      </c>
      <c r="B110" s="120">
        <v>3454</v>
      </c>
      <c r="C110" s="121">
        <f>5387-1</f>
        <v>5386</v>
      </c>
      <c r="D110" s="121">
        <v>6</v>
      </c>
      <c r="E110" s="121"/>
      <c r="F110" s="121">
        <v>702</v>
      </c>
      <c r="G110" s="122">
        <f aca="true" t="shared" si="11" ref="G110:G115">C110/B110</f>
        <v>1.5593514765489287</v>
      </c>
      <c r="H110" s="121">
        <v>845</v>
      </c>
      <c r="I110" s="123">
        <f t="shared" si="6"/>
        <v>4541</v>
      </c>
      <c r="J110" s="124">
        <f t="shared" si="7"/>
        <v>5.37396449704142</v>
      </c>
    </row>
    <row r="111" spans="1:10" s="119" customFormat="1" ht="18" customHeight="1">
      <c r="A111" s="80" t="s">
        <v>201</v>
      </c>
      <c r="B111" s="120">
        <v>525</v>
      </c>
      <c r="C111" s="121">
        <v>505</v>
      </c>
      <c r="D111" s="121"/>
      <c r="E111" s="121"/>
      <c r="F111" s="121">
        <v>305</v>
      </c>
      <c r="G111" s="122">
        <f t="shared" si="11"/>
        <v>0.9619047619047619</v>
      </c>
      <c r="H111" s="121">
        <v>330</v>
      </c>
      <c r="I111" s="123">
        <f t="shared" si="6"/>
        <v>175</v>
      </c>
      <c r="J111" s="124">
        <f t="shared" si="7"/>
        <v>0.5303030303030303</v>
      </c>
    </row>
    <row r="112" spans="1:10" s="119" customFormat="1" ht="18" customHeight="1">
      <c r="A112" s="80" t="s">
        <v>202</v>
      </c>
      <c r="B112" s="120">
        <v>94</v>
      </c>
      <c r="C112" s="121">
        <v>44</v>
      </c>
      <c r="D112" s="121">
        <v>6</v>
      </c>
      <c r="E112" s="121"/>
      <c r="F112" s="121">
        <v>33</v>
      </c>
      <c r="G112" s="122">
        <f t="shared" si="11"/>
        <v>0.46808510638297873</v>
      </c>
      <c r="H112" s="121">
        <v>48</v>
      </c>
      <c r="I112" s="123">
        <f t="shared" si="6"/>
        <v>-4</v>
      </c>
      <c r="J112" s="124">
        <f t="shared" si="7"/>
        <v>-0.08333333333333333</v>
      </c>
    </row>
    <row r="113" spans="1:10" s="119" customFormat="1" ht="18" customHeight="1">
      <c r="A113" s="80" t="s">
        <v>203</v>
      </c>
      <c r="B113" s="120">
        <v>1348</v>
      </c>
      <c r="C113" s="121">
        <v>836</v>
      </c>
      <c r="D113" s="121"/>
      <c r="E113" s="121"/>
      <c r="F113" s="121">
        <v>225</v>
      </c>
      <c r="G113" s="122">
        <f t="shared" si="11"/>
        <v>0.6201780415430267</v>
      </c>
      <c r="H113" s="121">
        <v>240</v>
      </c>
      <c r="I113" s="123">
        <f t="shared" si="6"/>
        <v>596</v>
      </c>
      <c r="J113" s="124">
        <f t="shared" si="7"/>
        <v>2.4833333333333334</v>
      </c>
    </row>
    <row r="114" spans="1:10" s="119" customFormat="1" ht="18" customHeight="1">
      <c r="A114" s="80" t="s">
        <v>204</v>
      </c>
      <c r="B114" s="120">
        <v>1191</v>
      </c>
      <c r="C114" s="121">
        <v>1774</v>
      </c>
      <c r="D114" s="121"/>
      <c r="E114" s="121"/>
      <c r="F114" s="121">
        <v>139</v>
      </c>
      <c r="G114" s="122">
        <f t="shared" si="11"/>
        <v>1.489504617968094</v>
      </c>
      <c r="H114" s="121">
        <v>227</v>
      </c>
      <c r="I114" s="123">
        <f t="shared" si="6"/>
        <v>1547</v>
      </c>
      <c r="J114" s="124">
        <f t="shared" si="7"/>
        <v>6.814977973568282</v>
      </c>
    </row>
    <row r="115" spans="1:10" s="119" customFormat="1" ht="18" customHeight="1">
      <c r="A115" s="128" t="s">
        <v>349</v>
      </c>
      <c r="B115" s="120">
        <v>296</v>
      </c>
      <c r="C115" s="121">
        <v>2228</v>
      </c>
      <c r="D115" s="121"/>
      <c r="E115" s="121"/>
      <c r="F115" s="121"/>
      <c r="G115" s="122">
        <f t="shared" si="11"/>
        <v>7.527027027027027</v>
      </c>
      <c r="H115" s="121"/>
      <c r="I115" s="123">
        <f t="shared" si="6"/>
        <v>2228</v>
      </c>
      <c r="J115" s="124"/>
    </row>
    <row r="116" spans="1:10" s="119" customFormat="1" ht="18" customHeight="1">
      <c r="A116" s="80" t="s">
        <v>205</v>
      </c>
      <c r="B116" s="120"/>
      <c r="C116" s="121">
        <v>0</v>
      </c>
      <c r="D116" s="121"/>
      <c r="E116" s="121"/>
      <c r="F116" s="121"/>
      <c r="G116" s="122"/>
      <c r="H116" s="121">
        <v>0</v>
      </c>
      <c r="I116" s="123">
        <f t="shared" si="6"/>
        <v>0</v>
      </c>
      <c r="J116" s="124"/>
    </row>
    <row r="117" spans="1:10" s="119" customFormat="1" ht="18" customHeight="1">
      <c r="A117" s="80" t="s">
        <v>206</v>
      </c>
      <c r="B117" s="120">
        <v>1978</v>
      </c>
      <c r="C117" s="121">
        <v>964</v>
      </c>
      <c r="D117" s="121"/>
      <c r="E117" s="121">
        <v>19</v>
      </c>
      <c r="F117" s="121">
        <v>215</v>
      </c>
      <c r="G117" s="122">
        <f aca="true" t="shared" si="12" ref="G117:G127">C117/B117</f>
        <v>0.487360970677452</v>
      </c>
      <c r="H117" s="121">
        <v>241</v>
      </c>
      <c r="I117" s="123">
        <f t="shared" si="6"/>
        <v>723</v>
      </c>
      <c r="J117" s="124">
        <f t="shared" si="7"/>
        <v>3</v>
      </c>
    </row>
    <row r="118" spans="1:10" s="119" customFormat="1" ht="18" customHeight="1">
      <c r="A118" s="80" t="s">
        <v>207</v>
      </c>
      <c r="B118" s="120">
        <v>365</v>
      </c>
      <c r="C118" s="121">
        <v>203</v>
      </c>
      <c r="D118" s="121"/>
      <c r="E118" s="121">
        <v>19</v>
      </c>
      <c r="F118" s="121">
        <v>149</v>
      </c>
      <c r="G118" s="122">
        <f t="shared" si="12"/>
        <v>0.5561643835616439</v>
      </c>
      <c r="H118" s="121">
        <v>171</v>
      </c>
      <c r="I118" s="123">
        <f t="shared" si="6"/>
        <v>32</v>
      </c>
      <c r="J118" s="124">
        <f t="shared" si="7"/>
        <v>0.1871345029239766</v>
      </c>
    </row>
    <row r="119" spans="1:10" s="119" customFormat="1" ht="18" customHeight="1">
      <c r="A119" s="80" t="s">
        <v>208</v>
      </c>
      <c r="B119" s="120">
        <v>1013</v>
      </c>
      <c r="C119" s="121">
        <v>121</v>
      </c>
      <c r="D119" s="121"/>
      <c r="E119" s="121"/>
      <c r="F119" s="121">
        <v>66</v>
      </c>
      <c r="G119" s="122">
        <f t="shared" si="12"/>
        <v>0.1194471865745311</v>
      </c>
      <c r="H119" s="121">
        <v>70</v>
      </c>
      <c r="I119" s="123">
        <f t="shared" si="6"/>
        <v>51</v>
      </c>
      <c r="J119" s="124">
        <f t="shared" si="7"/>
        <v>0.7285714285714285</v>
      </c>
    </row>
    <row r="120" spans="1:10" s="119" customFormat="1" ht="18" customHeight="1">
      <c r="A120" s="80" t="s">
        <v>350</v>
      </c>
      <c r="B120" s="120"/>
      <c r="C120" s="121">
        <v>40</v>
      </c>
      <c r="D120" s="121"/>
      <c r="E120" s="121"/>
      <c r="F120" s="121"/>
      <c r="G120" s="122"/>
      <c r="H120" s="121"/>
      <c r="I120" s="123"/>
      <c r="J120" s="124"/>
    </row>
    <row r="121" spans="1:10" s="119" customFormat="1" ht="18" customHeight="1">
      <c r="A121" s="80" t="s">
        <v>351</v>
      </c>
      <c r="B121" s="120">
        <v>600</v>
      </c>
      <c r="C121" s="121">
        <v>600</v>
      </c>
      <c r="D121" s="121"/>
      <c r="E121" s="121"/>
      <c r="F121" s="121"/>
      <c r="G121" s="122">
        <f t="shared" si="12"/>
        <v>1</v>
      </c>
      <c r="H121" s="121"/>
      <c r="I121" s="123">
        <f t="shared" si="6"/>
        <v>600</v>
      </c>
      <c r="J121" s="124"/>
    </row>
    <row r="122" spans="1:10" s="119" customFormat="1" ht="18" customHeight="1">
      <c r="A122" s="80" t="s">
        <v>209</v>
      </c>
      <c r="B122" s="120">
        <v>124</v>
      </c>
      <c r="C122" s="121">
        <v>12</v>
      </c>
      <c r="D122" s="121"/>
      <c r="E122" s="121"/>
      <c r="F122" s="121"/>
      <c r="G122" s="122">
        <f t="shared" si="12"/>
        <v>0.0967741935483871</v>
      </c>
      <c r="H122" s="121">
        <v>0</v>
      </c>
      <c r="I122" s="123">
        <f t="shared" si="6"/>
        <v>12</v>
      </c>
      <c r="J122" s="124"/>
    </row>
    <row r="123" spans="1:10" s="119" customFormat="1" ht="18" customHeight="1">
      <c r="A123" s="80" t="s">
        <v>352</v>
      </c>
      <c r="B123" s="120">
        <v>9</v>
      </c>
      <c r="C123" s="121">
        <v>7</v>
      </c>
      <c r="D123" s="121"/>
      <c r="E123" s="121"/>
      <c r="F123" s="121"/>
      <c r="G123" s="122">
        <f t="shared" si="12"/>
        <v>0.7777777777777778</v>
      </c>
      <c r="H123" s="121"/>
      <c r="I123" s="123">
        <f t="shared" si="6"/>
        <v>7</v>
      </c>
      <c r="J123" s="124"/>
    </row>
    <row r="124" spans="1:10" s="119" customFormat="1" ht="18" customHeight="1">
      <c r="A124" s="80" t="s">
        <v>210</v>
      </c>
      <c r="B124" s="120">
        <v>115</v>
      </c>
      <c r="C124" s="121">
        <v>5</v>
      </c>
      <c r="D124" s="121"/>
      <c r="E124" s="121"/>
      <c r="F124" s="121"/>
      <c r="G124" s="122">
        <f t="shared" si="12"/>
        <v>0.043478260869565216</v>
      </c>
      <c r="H124" s="121">
        <v>0</v>
      </c>
      <c r="I124" s="123">
        <f t="shared" si="6"/>
        <v>5</v>
      </c>
      <c r="J124" s="124"/>
    </row>
    <row r="125" spans="1:10" s="119" customFormat="1" ht="18" customHeight="1">
      <c r="A125" s="80" t="s">
        <v>211</v>
      </c>
      <c r="B125" s="120">
        <v>6013</v>
      </c>
      <c r="C125" s="121">
        <f>1698-1</f>
        <v>1697</v>
      </c>
      <c r="D125" s="121"/>
      <c r="E125" s="121"/>
      <c r="F125" s="121">
        <v>728</v>
      </c>
      <c r="G125" s="122">
        <f t="shared" si="12"/>
        <v>0.28222185265258604</v>
      </c>
      <c r="H125" s="121">
        <v>3349</v>
      </c>
      <c r="I125" s="123">
        <f t="shared" si="6"/>
        <v>-1652</v>
      </c>
      <c r="J125" s="124">
        <f t="shared" si="7"/>
        <v>-0.49328157659002686</v>
      </c>
    </row>
    <row r="126" spans="1:10" s="119" customFormat="1" ht="18" customHeight="1">
      <c r="A126" s="80" t="s">
        <v>212</v>
      </c>
      <c r="B126" s="120">
        <v>5884</v>
      </c>
      <c r="C126" s="121">
        <f>1658-1</f>
        <v>1657</v>
      </c>
      <c r="D126" s="121"/>
      <c r="E126" s="121"/>
      <c r="F126" s="121">
        <v>706</v>
      </c>
      <c r="G126" s="122">
        <f t="shared" si="12"/>
        <v>0.28161114887831407</v>
      </c>
      <c r="H126" s="121">
        <v>3321</v>
      </c>
      <c r="I126" s="123">
        <f t="shared" si="6"/>
        <v>-1664</v>
      </c>
      <c r="J126" s="124">
        <f t="shared" si="7"/>
        <v>-0.5010538994278831</v>
      </c>
    </row>
    <row r="127" spans="1:10" s="119" customFormat="1" ht="18" customHeight="1">
      <c r="A127" s="80" t="s">
        <v>213</v>
      </c>
      <c r="B127" s="120">
        <v>70</v>
      </c>
      <c r="C127" s="121">
        <v>40</v>
      </c>
      <c r="D127" s="121"/>
      <c r="E127" s="121"/>
      <c r="F127" s="121">
        <v>22</v>
      </c>
      <c r="G127" s="122">
        <f t="shared" si="12"/>
        <v>0.5714285714285714</v>
      </c>
      <c r="H127" s="121">
        <v>28</v>
      </c>
      <c r="I127" s="123">
        <f t="shared" si="6"/>
        <v>12</v>
      </c>
      <c r="J127" s="124">
        <f t="shared" si="7"/>
        <v>0.42857142857142855</v>
      </c>
    </row>
    <row r="128" spans="1:10" s="119" customFormat="1" ht="18" customHeight="1">
      <c r="A128" s="128" t="s">
        <v>353</v>
      </c>
      <c r="B128" s="120">
        <v>59</v>
      </c>
      <c r="C128" s="121"/>
      <c r="D128" s="121"/>
      <c r="E128" s="121"/>
      <c r="F128" s="121"/>
      <c r="G128" s="122"/>
      <c r="H128" s="121"/>
      <c r="I128" s="123">
        <f t="shared" si="6"/>
        <v>0</v>
      </c>
      <c r="J128" s="124"/>
    </row>
    <row r="129" spans="1:10" s="119" customFormat="1" ht="18" customHeight="1">
      <c r="A129" s="80" t="s">
        <v>214</v>
      </c>
      <c r="B129" s="120">
        <v>13125</v>
      </c>
      <c r="C129" s="121">
        <v>742</v>
      </c>
      <c r="D129" s="121"/>
      <c r="E129" s="121"/>
      <c r="F129" s="121">
        <v>1961</v>
      </c>
      <c r="G129" s="122">
        <f aca="true" t="shared" si="13" ref="G129:G136">C129/B129</f>
        <v>0.05653333333333333</v>
      </c>
      <c r="H129" s="121">
        <v>2065</v>
      </c>
      <c r="I129" s="123">
        <f t="shared" si="6"/>
        <v>-1323</v>
      </c>
      <c r="J129" s="124">
        <f t="shared" si="7"/>
        <v>-0.6406779661016949</v>
      </c>
    </row>
    <row r="130" spans="1:10" s="119" customFormat="1" ht="18" customHeight="1">
      <c r="A130" s="80" t="s">
        <v>215</v>
      </c>
      <c r="B130" s="120">
        <v>8186</v>
      </c>
      <c r="C130" s="121">
        <v>558</v>
      </c>
      <c r="D130" s="121"/>
      <c r="E130" s="121"/>
      <c r="F130" s="121"/>
      <c r="G130" s="122">
        <f t="shared" si="13"/>
        <v>0.06816516002931834</v>
      </c>
      <c r="H130" s="121">
        <v>80</v>
      </c>
      <c r="I130" s="123">
        <f t="shared" si="6"/>
        <v>478</v>
      </c>
      <c r="J130" s="124">
        <f t="shared" si="7"/>
        <v>5.975</v>
      </c>
    </row>
    <row r="131" spans="1:10" s="119" customFormat="1" ht="18" customHeight="1">
      <c r="A131" s="80" t="s">
        <v>216</v>
      </c>
      <c r="B131" s="120">
        <v>4939</v>
      </c>
      <c r="C131" s="121">
        <v>184</v>
      </c>
      <c r="D131" s="121"/>
      <c r="E131" s="121"/>
      <c r="F131" s="121">
        <v>1861</v>
      </c>
      <c r="G131" s="122">
        <f t="shared" si="13"/>
        <v>0.037254504960518325</v>
      </c>
      <c r="H131" s="121">
        <v>1860</v>
      </c>
      <c r="I131" s="123">
        <f t="shared" si="6"/>
        <v>-1676</v>
      </c>
      <c r="J131" s="124"/>
    </row>
    <row r="132" spans="1:10" s="119" customFormat="1" ht="18" customHeight="1">
      <c r="A132" s="80" t="s">
        <v>217</v>
      </c>
      <c r="B132" s="120"/>
      <c r="C132" s="121"/>
      <c r="D132" s="121"/>
      <c r="E132" s="121"/>
      <c r="F132" s="121">
        <v>100</v>
      </c>
      <c r="G132" s="122"/>
      <c r="H132" s="121">
        <v>125</v>
      </c>
      <c r="I132" s="123">
        <f t="shared" si="6"/>
        <v>-125</v>
      </c>
      <c r="J132" s="124">
        <f t="shared" si="7"/>
        <v>-1</v>
      </c>
    </row>
    <row r="133" spans="1:10" s="119" customFormat="1" ht="18" customHeight="1">
      <c r="A133" s="80" t="s">
        <v>218</v>
      </c>
      <c r="B133" s="120">
        <v>1107</v>
      </c>
      <c r="C133" s="121">
        <f>258-1</f>
        <v>257</v>
      </c>
      <c r="D133" s="121"/>
      <c r="E133" s="121"/>
      <c r="F133" s="121">
        <v>145</v>
      </c>
      <c r="G133" s="122">
        <f t="shared" si="13"/>
        <v>0.23215898825654924</v>
      </c>
      <c r="H133" s="121">
        <v>223</v>
      </c>
      <c r="I133" s="123">
        <f t="shared" si="6"/>
        <v>34</v>
      </c>
      <c r="J133" s="124">
        <f t="shared" si="7"/>
        <v>0.15246636771300448</v>
      </c>
    </row>
    <row r="134" spans="1:10" s="119" customFormat="1" ht="18" customHeight="1">
      <c r="A134" s="80" t="s">
        <v>219</v>
      </c>
      <c r="B134" s="120">
        <v>456</v>
      </c>
      <c r="C134" s="121">
        <f>175-1</f>
        <v>174</v>
      </c>
      <c r="D134" s="121"/>
      <c r="E134" s="121"/>
      <c r="F134" s="121">
        <v>133</v>
      </c>
      <c r="G134" s="122">
        <f t="shared" si="13"/>
        <v>0.3815789473684211</v>
      </c>
      <c r="H134" s="121">
        <v>157</v>
      </c>
      <c r="I134" s="123">
        <f aca="true" t="shared" si="14" ref="I134:I144">C134-H134</f>
        <v>17</v>
      </c>
      <c r="J134" s="124">
        <f t="shared" si="7"/>
        <v>0.10828025477707007</v>
      </c>
    </row>
    <row r="135" spans="1:10" s="119" customFormat="1" ht="18" customHeight="1">
      <c r="A135" s="80" t="s">
        <v>220</v>
      </c>
      <c r="B135" s="120">
        <v>51</v>
      </c>
      <c r="C135" s="121">
        <v>24</v>
      </c>
      <c r="D135" s="121"/>
      <c r="E135" s="121"/>
      <c r="F135" s="121">
        <v>12</v>
      </c>
      <c r="G135" s="122">
        <f t="shared" si="13"/>
        <v>0.47058823529411764</v>
      </c>
      <c r="H135" s="121">
        <v>16</v>
      </c>
      <c r="I135" s="123">
        <f t="shared" si="14"/>
        <v>8</v>
      </c>
      <c r="J135" s="124">
        <f t="shared" si="7"/>
        <v>0.5</v>
      </c>
    </row>
    <row r="136" spans="1:10" s="119" customFormat="1" ht="18" customHeight="1">
      <c r="A136" s="80" t="s">
        <v>221</v>
      </c>
      <c r="B136" s="120">
        <v>600</v>
      </c>
      <c r="C136" s="121">
        <v>59</v>
      </c>
      <c r="D136" s="121"/>
      <c r="E136" s="121"/>
      <c r="F136" s="121"/>
      <c r="G136" s="122">
        <f t="shared" si="13"/>
        <v>0.09833333333333333</v>
      </c>
      <c r="H136" s="121">
        <v>50</v>
      </c>
      <c r="I136" s="123">
        <f t="shared" si="14"/>
        <v>9</v>
      </c>
      <c r="J136" s="124"/>
    </row>
    <row r="137" spans="1:10" s="119" customFormat="1" ht="18" customHeight="1">
      <c r="A137" s="80" t="s">
        <v>222</v>
      </c>
      <c r="B137" s="120">
        <v>3500</v>
      </c>
      <c r="C137" s="121"/>
      <c r="D137" s="121"/>
      <c r="E137" s="121"/>
      <c r="F137" s="121"/>
      <c r="G137" s="122"/>
      <c r="H137" s="121"/>
      <c r="I137" s="123">
        <f t="shared" si="14"/>
        <v>0</v>
      </c>
      <c r="J137" s="124"/>
    </row>
    <row r="138" spans="1:10" s="119" customFormat="1" ht="18" customHeight="1">
      <c r="A138" s="128" t="s">
        <v>233</v>
      </c>
      <c r="B138" s="120">
        <v>1300</v>
      </c>
      <c r="C138" s="121"/>
      <c r="D138" s="121"/>
      <c r="E138" s="121"/>
      <c r="F138" s="121"/>
      <c r="G138" s="122"/>
      <c r="H138" s="121"/>
      <c r="I138" s="123">
        <f t="shared" si="14"/>
        <v>0</v>
      </c>
      <c r="J138" s="124"/>
    </row>
    <row r="139" spans="1:10" s="119" customFormat="1" ht="18" customHeight="1">
      <c r="A139" s="128" t="s">
        <v>234</v>
      </c>
      <c r="B139" s="120">
        <v>1300</v>
      </c>
      <c r="C139" s="121"/>
      <c r="D139" s="121"/>
      <c r="E139" s="121"/>
      <c r="F139" s="121"/>
      <c r="G139" s="122"/>
      <c r="H139" s="121"/>
      <c r="I139" s="123">
        <f t="shared" si="14"/>
        <v>0</v>
      </c>
      <c r="J139" s="124"/>
    </row>
    <row r="140" spans="1:10" s="119" customFormat="1" ht="18" customHeight="1">
      <c r="A140" s="80" t="s">
        <v>235</v>
      </c>
      <c r="B140" s="120">
        <v>40470</v>
      </c>
      <c r="C140" s="121">
        <v>0</v>
      </c>
      <c r="D140" s="121"/>
      <c r="E140" s="121"/>
      <c r="F140" s="121"/>
      <c r="G140" s="122"/>
      <c r="H140" s="121">
        <v>0</v>
      </c>
      <c r="I140" s="123">
        <f t="shared" si="14"/>
        <v>0</v>
      </c>
      <c r="J140" s="124"/>
    </row>
    <row r="141" spans="1:10" s="119" customFormat="1" ht="18" customHeight="1">
      <c r="A141" s="80" t="s">
        <v>236</v>
      </c>
      <c r="B141" s="120">
        <v>40470</v>
      </c>
      <c r="C141" s="121">
        <v>0</v>
      </c>
      <c r="D141" s="121"/>
      <c r="E141" s="121"/>
      <c r="F141" s="121"/>
      <c r="G141" s="122"/>
      <c r="H141" s="121">
        <v>0</v>
      </c>
      <c r="I141" s="123">
        <f t="shared" si="14"/>
        <v>0</v>
      </c>
      <c r="J141" s="124"/>
    </row>
    <row r="142" spans="1:10" s="119" customFormat="1" ht="18" customHeight="1">
      <c r="A142" s="80" t="s">
        <v>294</v>
      </c>
      <c r="B142" s="120">
        <v>36334</v>
      </c>
      <c r="C142" s="121">
        <v>0</v>
      </c>
      <c r="D142" s="121"/>
      <c r="E142" s="121"/>
      <c r="F142" s="121"/>
      <c r="G142" s="122"/>
      <c r="H142" s="121">
        <v>0</v>
      </c>
      <c r="I142" s="123">
        <f t="shared" si="14"/>
        <v>0</v>
      </c>
      <c r="J142" s="124"/>
    </row>
    <row r="143" spans="1:10" s="119" customFormat="1" ht="18" customHeight="1">
      <c r="A143" s="80" t="s">
        <v>295</v>
      </c>
      <c r="B143" s="120">
        <v>3536</v>
      </c>
      <c r="C143" s="121">
        <v>0</v>
      </c>
      <c r="D143" s="121"/>
      <c r="E143" s="121"/>
      <c r="F143" s="121"/>
      <c r="G143" s="122"/>
      <c r="H143" s="121">
        <v>0</v>
      </c>
      <c r="I143" s="123">
        <f t="shared" si="14"/>
        <v>0</v>
      </c>
      <c r="J143" s="124"/>
    </row>
    <row r="144" spans="1:10" s="119" customFormat="1" ht="18" customHeight="1">
      <c r="A144" s="80" t="s">
        <v>296</v>
      </c>
      <c r="B144" s="120">
        <v>600</v>
      </c>
      <c r="C144" s="121">
        <v>0</v>
      </c>
      <c r="D144" s="121"/>
      <c r="E144" s="121"/>
      <c r="F144" s="121"/>
      <c r="G144" s="122"/>
      <c r="H144" s="121">
        <v>0</v>
      </c>
      <c r="I144" s="123">
        <f t="shared" si="14"/>
        <v>0</v>
      </c>
      <c r="J144" s="124"/>
    </row>
    <row r="145" spans="1:10" s="119" customFormat="1" ht="18" customHeight="1">
      <c r="A145" s="127" t="s">
        <v>237</v>
      </c>
      <c r="B145" s="123"/>
      <c r="C145" s="123"/>
      <c r="D145" s="123"/>
      <c r="E145" s="123"/>
      <c r="F145" s="123"/>
      <c r="G145" s="80"/>
      <c r="H145" s="123"/>
      <c r="I145" s="123">
        <f>C145-H145</f>
        <v>0</v>
      </c>
      <c r="J145" s="124"/>
    </row>
  </sheetData>
  <sheetProtection/>
  <autoFilter ref="A3:J145"/>
  <mergeCells count="1">
    <mergeCell ref="A1:J1"/>
  </mergeCells>
  <printOptions horizontalCentered="1"/>
  <pageMargins left="0.07874015748031496" right="0.11811023622047245" top="0.72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showZeros="0" zoomScalePageLayoutView="0" workbookViewId="0" topLeftCell="A1">
      <pane ySplit="4" topLeftCell="BM5" activePane="bottomLeft" state="frozen"/>
      <selection pane="topLeft" activeCell="A20" sqref="A20"/>
      <selection pane="bottomLeft" activeCell="A20" sqref="A20"/>
    </sheetView>
  </sheetViews>
  <sheetFormatPr defaultColWidth="18.00390625" defaultRowHeight="13.5"/>
  <cols>
    <col min="1" max="1" width="32.75390625" style="0" customWidth="1"/>
    <col min="2" max="2" width="7.875" style="0" customWidth="1"/>
    <col min="3" max="4" width="7.50390625" style="0" customWidth="1"/>
    <col min="5" max="5" width="7.75390625" style="0" customWidth="1"/>
    <col min="6" max="6" width="8.00390625" style="0" customWidth="1"/>
    <col min="7" max="8" width="6.125" style="0" customWidth="1"/>
    <col min="9" max="9" width="6.50390625" style="0" customWidth="1"/>
    <col min="10" max="10" width="7.75390625" style="0" customWidth="1"/>
    <col min="11" max="11" width="18.00390625" style="113" customWidth="1"/>
  </cols>
  <sheetData>
    <row r="1" spans="1:10" ht="30.75" customHeight="1">
      <c r="A1" s="134" t="s">
        <v>340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7.25" customHeight="1">
      <c r="J2" s="129" t="s">
        <v>354</v>
      </c>
    </row>
    <row r="3" spans="1:10" ht="18" customHeight="1">
      <c r="A3" s="149" t="s">
        <v>96</v>
      </c>
      <c r="B3" s="148" t="s">
        <v>33</v>
      </c>
      <c r="C3" s="148"/>
      <c r="D3" s="148"/>
      <c r="E3" s="148"/>
      <c r="F3" s="148"/>
      <c r="G3" s="148"/>
      <c r="H3" s="148"/>
      <c r="I3" s="148"/>
      <c r="J3" s="148"/>
    </row>
    <row r="4" spans="1:10" ht="29.25" customHeight="1">
      <c r="A4" s="150"/>
      <c r="B4" s="51" t="s">
        <v>34</v>
      </c>
      <c r="C4" s="63" t="s">
        <v>41</v>
      </c>
      <c r="D4" s="52" t="s">
        <v>98</v>
      </c>
      <c r="E4" s="53" t="s">
        <v>32</v>
      </c>
      <c r="F4" s="53" t="s">
        <v>35</v>
      </c>
      <c r="G4" s="53" t="s">
        <v>36</v>
      </c>
      <c r="H4" s="53" t="s">
        <v>37</v>
      </c>
      <c r="I4" s="53" t="s">
        <v>38</v>
      </c>
      <c r="J4" s="53" t="s">
        <v>39</v>
      </c>
    </row>
    <row r="5" spans="1:10" ht="15.75" customHeight="1">
      <c r="A5" s="53" t="s">
        <v>99</v>
      </c>
      <c r="B5" s="54">
        <v>155405</v>
      </c>
      <c r="C5" s="54">
        <v>29059</v>
      </c>
      <c r="D5" s="54">
        <v>6304</v>
      </c>
      <c r="E5" s="54">
        <v>79001</v>
      </c>
      <c r="F5" s="54">
        <f>5034+549</f>
        <v>5583</v>
      </c>
      <c r="G5" s="54">
        <v>3425</v>
      </c>
      <c r="H5" s="54">
        <v>1590</v>
      </c>
      <c r="I5" s="54">
        <v>1282</v>
      </c>
      <c r="J5" s="54">
        <f>29710-549</f>
        <v>29161</v>
      </c>
    </row>
    <row r="6" spans="1:10" ht="15.75" customHeight="1">
      <c r="A6" s="22" t="s">
        <v>100</v>
      </c>
      <c r="B6" s="54">
        <f>SUM(B7:B28)</f>
        <v>16329</v>
      </c>
      <c r="C6" s="54">
        <v>63</v>
      </c>
      <c r="D6" s="54"/>
      <c r="E6" s="54">
        <v>9066</v>
      </c>
      <c r="F6" s="54">
        <v>36</v>
      </c>
      <c r="G6" s="54">
        <v>545</v>
      </c>
      <c r="H6" s="54">
        <v>339</v>
      </c>
      <c r="I6" s="54">
        <v>151</v>
      </c>
      <c r="J6" s="54">
        <v>6129</v>
      </c>
    </row>
    <row r="7" spans="1:10" ht="15.75" customHeight="1">
      <c r="A7" s="22" t="s">
        <v>101</v>
      </c>
      <c r="B7" s="54">
        <v>469</v>
      </c>
      <c r="C7" s="54"/>
      <c r="D7" s="54"/>
      <c r="E7" s="54">
        <v>162</v>
      </c>
      <c r="F7" s="54"/>
      <c r="G7" s="54">
        <v>36</v>
      </c>
      <c r="H7" s="54">
        <v>6</v>
      </c>
      <c r="I7" s="54"/>
      <c r="J7" s="54">
        <v>265</v>
      </c>
    </row>
    <row r="8" spans="1:10" ht="15.75" customHeight="1">
      <c r="A8" s="22" t="s">
        <v>102</v>
      </c>
      <c r="B8" s="54">
        <v>215</v>
      </c>
      <c r="C8" s="54"/>
      <c r="D8" s="54"/>
      <c r="E8" s="54">
        <v>88</v>
      </c>
      <c r="F8" s="54"/>
      <c r="G8" s="54">
        <v>29</v>
      </c>
      <c r="H8" s="54"/>
      <c r="I8" s="54"/>
      <c r="J8" s="54">
        <v>98</v>
      </c>
    </row>
    <row r="9" spans="1:10" ht="15.75" customHeight="1">
      <c r="A9" s="22" t="s">
        <v>103</v>
      </c>
      <c r="B9" s="54">
        <v>4483</v>
      </c>
      <c r="C9" s="54"/>
      <c r="D9" s="54"/>
      <c r="E9" s="54">
        <v>3699</v>
      </c>
      <c r="F9" s="54"/>
      <c r="G9" s="54">
        <v>84</v>
      </c>
      <c r="H9" s="54">
        <v>232</v>
      </c>
      <c r="I9" s="54">
        <v>148</v>
      </c>
      <c r="J9" s="54">
        <v>320</v>
      </c>
    </row>
    <row r="10" spans="1:10" ht="15.75" customHeight="1">
      <c r="A10" s="22" t="s">
        <v>104</v>
      </c>
      <c r="B10" s="54">
        <v>493</v>
      </c>
      <c r="C10" s="54">
        <v>1</v>
      </c>
      <c r="D10" s="54"/>
      <c r="E10" s="54">
        <v>402</v>
      </c>
      <c r="F10" s="54"/>
      <c r="G10" s="54">
        <v>22</v>
      </c>
      <c r="H10" s="54">
        <v>5</v>
      </c>
      <c r="I10" s="54"/>
      <c r="J10" s="54">
        <v>63</v>
      </c>
    </row>
    <row r="11" spans="1:10" ht="15.75" customHeight="1">
      <c r="A11" s="22" t="s">
        <v>105</v>
      </c>
      <c r="B11" s="54">
        <v>276</v>
      </c>
      <c r="C11" s="54"/>
      <c r="D11" s="54"/>
      <c r="E11" s="54">
        <v>140</v>
      </c>
      <c r="F11" s="54"/>
      <c r="G11" s="54">
        <v>13</v>
      </c>
      <c r="H11" s="54">
        <v>47</v>
      </c>
      <c r="I11" s="54"/>
      <c r="J11" s="54">
        <v>76</v>
      </c>
    </row>
    <row r="12" spans="1:10" ht="15.75" customHeight="1">
      <c r="A12" s="22" t="s">
        <v>106</v>
      </c>
      <c r="B12" s="54">
        <v>1449</v>
      </c>
      <c r="C12" s="54">
        <v>44</v>
      </c>
      <c r="D12" s="54"/>
      <c r="E12" s="54">
        <v>1291</v>
      </c>
      <c r="F12" s="54"/>
      <c r="G12" s="54">
        <v>88</v>
      </c>
      <c r="H12" s="54"/>
      <c r="I12" s="54"/>
      <c r="J12" s="54">
        <v>26</v>
      </c>
    </row>
    <row r="13" spans="1:10" ht="15.75" customHeight="1">
      <c r="A13" s="22" t="s">
        <v>107</v>
      </c>
      <c r="B13" s="54">
        <v>363</v>
      </c>
      <c r="C13" s="54"/>
      <c r="D13" s="54"/>
      <c r="E13" s="54">
        <v>233</v>
      </c>
      <c r="F13" s="54"/>
      <c r="G13" s="54">
        <v>100</v>
      </c>
      <c r="H13" s="54"/>
      <c r="I13" s="54"/>
      <c r="J13" s="54">
        <v>30</v>
      </c>
    </row>
    <row r="14" spans="1:10" ht="15.75" customHeight="1">
      <c r="A14" s="22" t="s">
        <v>108</v>
      </c>
      <c r="B14" s="54">
        <v>11</v>
      </c>
      <c r="C14" s="54"/>
      <c r="D14" s="54"/>
      <c r="E14" s="54">
        <v>11</v>
      </c>
      <c r="F14" s="54"/>
      <c r="G14" s="54"/>
      <c r="H14" s="54"/>
      <c r="I14" s="54"/>
      <c r="J14" s="54"/>
    </row>
    <row r="15" spans="1:10" ht="15.75" customHeight="1">
      <c r="A15" s="22" t="s">
        <v>109</v>
      </c>
      <c r="B15" s="54">
        <v>257</v>
      </c>
      <c r="C15" s="54"/>
      <c r="D15" s="54"/>
      <c r="E15" s="54">
        <v>157</v>
      </c>
      <c r="F15" s="54"/>
      <c r="G15" s="54">
        <v>40</v>
      </c>
      <c r="H15" s="54">
        <v>10</v>
      </c>
      <c r="I15" s="54"/>
      <c r="J15" s="54">
        <v>50</v>
      </c>
    </row>
    <row r="16" spans="1:10" ht="15.75" customHeight="1">
      <c r="A16" s="22" t="s">
        <v>110</v>
      </c>
      <c r="B16" s="54">
        <v>155</v>
      </c>
      <c r="C16" s="54"/>
      <c r="D16" s="54"/>
      <c r="E16" s="54">
        <v>129</v>
      </c>
      <c r="F16" s="54"/>
      <c r="G16" s="54"/>
      <c r="H16" s="54"/>
      <c r="I16" s="54"/>
      <c r="J16" s="54">
        <v>26</v>
      </c>
    </row>
    <row r="17" spans="1:10" ht="15.75" customHeight="1">
      <c r="A17" s="22" t="s">
        <v>112</v>
      </c>
      <c r="B17" s="54">
        <v>859</v>
      </c>
      <c r="C17" s="54">
        <v>18</v>
      </c>
      <c r="D17" s="54"/>
      <c r="E17" s="54">
        <v>818</v>
      </c>
      <c r="F17" s="54"/>
      <c r="G17" s="54"/>
      <c r="H17" s="54">
        <v>2</v>
      </c>
      <c r="I17" s="54"/>
      <c r="J17" s="54">
        <v>21</v>
      </c>
    </row>
    <row r="18" spans="1:10" ht="15.75" customHeight="1">
      <c r="A18" s="71" t="s">
        <v>355</v>
      </c>
      <c r="B18" s="54">
        <v>177</v>
      </c>
      <c r="C18" s="54"/>
      <c r="D18" s="54"/>
      <c r="E18" s="54">
        <v>151</v>
      </c>
      <c r="F18" s="54"/>
      <c r="G18" s="54">
        <v>13</v>
      </c>
      <c r="H18" s="54"/>
      <c r="I18" s="54"/>
      <c r="J18" s="54">
        <v>13</v>
      </c>
    </row>
    <row r="19" spans="1:10" ht="15.75" customHeight="1">
      <c r="A19" s="22" t="s">
        <v>113</v>
      </c>
      <c r="B19" s="54">
        <v>11</v>
      </c>
      <c r="C19" s="54"/>
      <c r="D19" s="54"/>
      <c r="E19" s="54">
        <v>7</v>
      </c>
      <c r="F19" s="54"/>
      <c r="G19" s="54"/>
      <c r="H19" s="54"/>
      <c r="I19" s="54"/>
      <c r="J19" s="54">
        <v>4</v>
      </c>
    </row>
    <row r="20" spans="1:10" ht="15.75" customHeight="1">
      <c r="A20" s="22" t="s">
        <v>114</v>
      </c>
      <c r="B20" s="54">
        <v>16</v>
      </c>
      <c r="C20" s="54"/>
      <c r="D20" s="54"/>
      <c r="E20" s="54"/>
      <c r="F20" s="54"/>
      <c r="G20" s="54">
        <v>1</v>
      </c>
      <c r="H20" s="54"/>
      <c r="I20" s="54"/>
      <c r="J20" s="54">
        <v>15</v>
      </c>
    </row>
    <row r="21" spans="1:10" ht="15.75" customHeight="1">
      <c r="A21" s="22" t="s">
        <v>115</v>
      </c>
      <c r="B21" s="54">
        <v>90</v>
      </c>
      <c r="C21" s="54"/>
      <c r="D21" s="54"/>
      <c r="E21" s="54">
        <v>85</v>
      </c>
      <c r="F21" s="54"/>
      <c r="G21" s="54"/>
      <c r="H21" s="54">
        <v>5</v>
      </c>
      <c r="I21" s="54"/>
      <c r="J21" s="54"/>
    </row>
    <row r="22" spans="1:10" ht="15.75" customHeight="1">
      <c r="A22" s="22" t="s">
        <v>116</v>
      </c>
      <c r="B22" s="54">
        <v>23</v>
      </c>
      <c r="C22" s="54"/>
      <c r="D22" s="54"/>
      <c r="E22" s="54">
        <v>16</v>
      </c>
      <c r="F22" s="54"/>
      <c r="G22" s="54">
        <v>1</v>
      </c>
      <c r="H22" s="54">
        <v>5</v>
      </c>
      <c r="I22" s="54"/>
      <c r="J22" s="54">
        <v>1</v>
      </c>
    </row>
    <row r="23" spans="1:10" ht="15.75" customHeight="1">
      <c r="A23" s="22" t="s">
        <v>117</v>
      </c>
      <c r="B23" s="54">
        <v>100</v>
      </c>
      <c r="C23" s="54"/>
      <c r="D23" s="54"/>
      <c r="E23" s="54">
        <v>88</v>
      </c>
      <c r="F23" s="54"/>
      <c r="G23" s="54">
        <v>3</v>
      </c>
      <c r="H23" s="54">
        <v>8</v>
      </c>
      <c r="I23" s="54"/>
      <c r="J23" s="54">
        <v>1</v>
      </c>
    </row>
    <row r="24" spans="1:10" ht="15.75" customHeight="1">
      <c r="A24" s="22" t="s">
        <v>118</v>
      </c>
      <c r="B24" s="54">
        <v>550</v>
      </c>
      <c r="C24" s="54"/>
      <c r="D24" s="54"/>
      <c r="E24" s="54">
        <v>386</v>
      </c>
      <c r="F24" s="54">
        <v>1</v>
      </c>
      <c r="G24" s="54">
        <v>5</v>
      </c>
      <c r="H24" s="54">
        <v>6</v>
      </c>
      <c r="I24" s="54"/>
      <c r="J24" s="54">
        <v>152</v>
      </c>
    </row>
    <row r="25" spans="1:10" ht="15.75" customHeight="1">
      <c r="A25" s="22" t="s">
        <v>119</v>
      </c>
      <c r="B25" s="54">
        <v>134</v>
      </c>
      <c r="C25" s="54"/>
      <c r="D25" s="54"/>
      <c r="E25" s="54">
        <v>94</v>
      </c>
      <c r="F25" s="54"/>
      <c r="G25" s="54"/>
      <c r="H25" s="54"/>
      <c r="I25" s="54"/>
      <c r="J25" s="54">
        <v>40</v>
      </c>
    </row>
    <row r="26" spans="1:10" ht="15.75" customHeight="1">
      <c r="A26" s="22" t="s">
        <v>120</v>
      </c>
      <c r="B26" s="54">
        <v>79</v>
      </c>
      <c r="C26" s="54"/>
      <c r="D26" s="54"/>
      <c r="E26" s="54">
        <v>79</v>
      </c>
      <c r="F26" s="54"/>
      <c r="G26" s="54"/>
      <c r="H26" s="54"/>
      <c r="I26" s="54"/>
      <c r="J26" s="54"/>
    </row>
    <row r="27" spans="1:10" ht="15.75" customHeight="1">
      <c r="A27" s="22" t="s">
        <v>121</v>
      </c>
      <c r="B27" s="54">
        <v>34</v>
      </c>
      <c r="C27" s="54"/>
      <c r="D27" s="54"/>
      <c r="E27" s="54">
        <v>31</v>
      </c>
      <c r="F27" s="54"/>
      <c r="G27" s="54"/>
      <c r="H27" s="54"/>
      <c r="I27" s="54"/>
      <c r="J27" s="54">
        <v>3</v>
      </c>
    </row>
    <row r="28" spans="1:10" ht="15.75" customHeight="1">
      <c r="A28" s="22" t="s">
        <v>122</v>
      </c>
      <c r="B28" s="54">
        <v>6085</v>
      </c>
      <c r="C28" s="54"/>
      <c r="D28" s="54"/>
      <c r="E28" s="54">
        <v>999</v>
      </c>
      <c r="F28" s="54">
        <v>35</v>
      </c>
      <c r="G28" s="54">
        <v>110</v>
      </c>
      <c r="H28" s="54">
        <v>13</v>
      </c>
      <c r="I28" s="54">
        <v>3</v>
      </c>
      <c r="J28" s="54">
        <v>4925</v>
      </c>
    </row>
    <row r="29" spans="1:10" ht="15.75" customHeight="1">
      <c r="A29" s="22" t="s">
        <v>123</v>
      </c>
      <c r="B29" s="54">
        <v>145</v>
      </c>
      <c r="C29" s="54"/>
      <c r="D29" s="54"/>
      <c r="E29" s="54"/>
      <c r="F29" s="54"/>
      <c r="G29" s="54"/>
      <c r="H29" s="54">
        <v>35</v>
      </c>
      <c r="I29" s="54"/>
      <c r="J29" s="54">
        <v>110</v>
      </c>
    </row>
    <row r="30" spans="1:10" ht="15.75" customHeight="1">
      <c r="A30" s="22" t="s">
        <v>124</v>
      </c>
      <c r="B30" s="54">
        <v>145</v>
      </c>
      <c r="C30" s="54"/>
      <c r="D30" s="54"/>
      <c r="E30" s="54"/>
      <c r="F30" s="54"/>
      <c r="G30" s="54"/>
      <c r="H30" s="54">
        <v>35</v>
      </c>
      <c r="I30" s="54"/>
      <c r="J30" s="54">
        <v>110</v>
      </c>
    </row>
    <row r="31" spans="1:10" ht="15.75" customHeight="1">
      <c r="A31" s="22" t="s">
        <v>126</v>
      </c>
      <c r="B31" s="54">
        <f>9359</f>
        <v>9359</v>
      </c>
      <c r="C31" s="54">
        <v>655</v>
      </c>
      <c r="D31" s="54">
        <v>100</v>
      </c>
      <c r="E31" s="54">
        <v>5480</v>
      </c>
      <c r="F31" s="54">
        <v>129</v>
      </c>
      <c r="G31" s="54">
        <v>1767</v>
      </c>
      <c r="H31" s="54">
        <v>47</v>
      </c>
      <c r="I31" s="54">
        <v>2</v>
      </c>
      <c r="J31" s="54">
        <v>1179</v>
      </c>
    </row>
    <row r="32" spans="1:10" ht="15.75" customHeight="1">
      <c r="A32" s="22" t="s">
        <v>127</v>
      </c>
      <c r="B32" s="54">
        <v>239</v>
      </c>
      <c r="C32" s="54"/>
      <c r="D32" s="54"/>
      <c r="E32" s="54"/>
      <c r="F32" s="54"/>
      <c r="G32" s="54">
        <v>79</v>
      </c>
      <c r="H32" s="54">
        <v>40</v>
      </c>
      <c r="I32" s="54"/>
      <c r="J32" s="54">
        <v>120</v>
      </c>
    </row>
    <row r="33" spans="1:10" ht="15.75" customHeight="1">
      <c r="A33" s="22" t="s">
        <v>128</v>
      </c>
      <c r="B33" s="54">
        <v>6417</v>
      </c>
      <c r="C33" s="54">
        <v>284</v>
      </c>
      <c r="D33" s="54">
        <v>100</v>
      </c>
      <c r="E33" s="54">
        <v>4328</v>
      </c>
      <c r="F33" s="54">
        <v>110</v>
      </c>
      <c r="G33" s="54">
        <v>1209</v>
      </c>
      <c r="H33" s="54">
        <v>7</v>
      </c>
      <c r="I33" s="54">
        <v>2</v>
      </c>
      <c r="J33" s="54">
        <v>377</v>
      </c>
    </row>
    <row r="34" spans="1:10" ht="15.75" customHeight="1">
      <c r="A34" s="22" t="s">
        <v>129</v>
      </c>
      <c r="B34" s="54">
        <v>742</v>
      </c>
      <c r="C34" s="54">
        <v>167</v>
      </c>
      <c r="D34" s="54"/>
      <c r="E34" s="54">
        <v>339</v>
      </c>
      <c r="F34" s="54"/>
      <c r="G34" s="54">
        <v>150</v>
      </c>
      <c r="H34" s="54"/>
      <c r="I34" s="54"/>
      <c r="J34" s="54">
        <v>86</v>
      </c>
    </row>
    <row r="35" spans="1:10" ht="15.75" customHeight="1">
      <c r="A35" s="22" t="s">
        <v>130</v>
      </c>
      <c r="B35" s="54">
        <v>1460</v>
      </c>
      <c r="C35" s="54">
        <v>204</v>
      </c>
      <c r="D35" s="54"/>
      <c r="E35" s="54">
        <v>481</v>
      </c>
      <c r="F35" s="54"/>
      <c r="G35" s="54">
        <v>214</v>
      </c>
      <c r="H35" s="54"/>
      <c r="I35" s="54"/>
      <c r="J35" s="54">
        <v>561</v>
      </c>
    </row>
    <row r="36" spans="1:10" ht="15.75" customHeight="1">
      <c r="A36" s="22" t="s">
        <v>131</v>
      </c>
      <c r="B36" s="54">
        <v>501</v>
      </c>
      <c r="C36" s="54"/>
      <c r="D36" s="54"/>
      <c r="E36" s="54">
        <v>332</v>
      </c>
      <c r="F36" s="54">
        <v>19</v>
      </c>
      <c r="G36" s="54">
        <v>115</v>
      </c>
      <c r="H36" s="54"/>
      <c r="I36" s="54"/>
      <c r="J36" s="54">
        <v>35</v>
      </c>
    </row>
    <row r="37" spans="1:10" ht="15.75" customHeight="1">
      <c r="A37" s="22" t="s">
        <v>132</v>
      </c>
      <c r="B37" s="54">
        <v>40052</v>
      </c>
      <c r="C37" s="54">
        <v>14</v>
      </c>
      <c r="D37" s="54"/>
      <c r="E37" s="54">
        <v>39791</v>
      </c>
      <c r="F37" s="54"/>
      <c r="G37" s="54">
        <v>67</v>
      </c>
      <c r="H37" s="54"/>
      <c r="I37" s="54"/>
      <c r="J37" s="54">
        <v>180</v>
      </c>
    </row>
    <row r="38" spans="1:10" ht="15.75" customHeight="1">
      <c r="A38" s="22" t="s">
        <v>133</v>
      </c>
      <c r="B38" s="54">
        <v>315</v>
      </c>
      <c r="C38" s="54"/>
      <c r="D38" s="54"/>
      <c r="E38" s="54">
        <v>270</v>
      </c>
      <c r="F38" s="54"/>
      <c r="G38" s="54">
        <v>45</v>
      </c>
      <c r="H38" s="54"/>
      <c r="I38" s="54"/>
      <c r="J38" s="54"/>
    </row>
    <row r="39" spans="1:10" ht="15.75" customHeight="1">
      <c r="A39" s="22" t="s">
        <v>134</v>
      </c>
      <c r="B39" s="54">
        <v>38419</v>
      </c>
      <c r="C39" s="54">
        <v>14</v>
      </c>
      <c r="D39" s="54"/>
      <c r="E39" s="54">
        <v>38292</v>
      </c>
      <c r="F39" s="54"/>
      <c r="G39" s="54">
        <v>13</v>
      </c>
      <c r="H39" s="54"/>
      <c r="I39" s="54"/>
      <c r="J39" s="54">
        <v>100</v>
      </c>
    </row>
    <row r="40" spans="1:10" ht="15.75" customHeight="1">
      <c r="A40" s="22" t="s">
        <v>135</v>
      </c>
      <c r="B40" s="54">
        <v>593</v>
      </c>
      <c r="C40" s="54"/>
      <c r="D40" s="54"/>
      <c r="E40" s="54">
        <v>593</v>
      </c>
      <c r="F40" s="54"/>
      <c r="G40" s="54"/>
      <c r="H40" s="54"/>
      <c r="I40" s="54"/>
      <c r="J40" s="54"/>
    </row>
    <row r="41" spans="1:10" ht="15.75" customHeight="1">
      <c r="A41" s="22" t="s">
        <v>136</v>
      </c>
      <c r="B41" s="54">
        <v>52</v>
      </c>
      <c r="C41" s="54"/>
      <c r="D41" s="54"/>
      <c r="E41" s="54">
        <v>52</v>
      </c>
      <c r="F41" s="54"/>
      <c r="G41" s="54"/>
      <c r="H41" s="54"/>
      <c r="I41" s="54"/>
      <c r="J41" s="54"/>
    </row>
    <row r="42" spans="1:10" ht="15.75" customHeight="1">
      <c r="A42" s="22" t="s">
        <v>137</v>
      </c>
      <c r="B42" s="54">
        <v>364</v>
      </c>
      <c r="C42" s="54"/>
      <c r="D42" s="54"/>
      <c r="E42" s="54">
        <v>275</v>
      </c>
      <c r="F42" s="54"/>
      <c r="G42" s="54">
        <v>9</v>
      </c>
      <c r="H42" s="54"/>
      <c r="I42" s="54"/>
      <c r="J42" s="54">
        <v>80</v>
      </c>
    </row>
    <row r="43" spans="1:10" ht="15.75" customHeight="1">
      <c r="A43" s="22" t="s">
        <v>139</v>
      </c>
      <c r="B43" s="54">
        <v>309</v>
      </c>
      <c r="C43" s="54"/>
      <c r="D43" s="54"/>
      <c r="E43" s="54">
        <v>309</v>
      </c>
      <c r="F43" s="54"/>
      <c r="G43" s="54"/>
      <c r="H43" s="54"/>
      <c r="I43" s="54"/>
      <c r="J43" s="54"/>
    </row>
    <row r="44" spans="1:10" ht="15.75" customHeight="1">
      <c r="A44" s="22" t="s">
        <v>140</v>
      </c>
      <c r="B44" s="54">
        <v>128</v>
      </c>
      <c r="C44" s="54">
        <v>10</v>
      </c>
      <c r="D44" s="54"/>
      <c r="E44" s="54">
        <v>106</v>
      </c>
      <c r="F44" s="54"/>
      <c r="G44" s="54">
        <v>3</v>
      </c>
      <c r="H44" s="54"/>
      <c r="I44" s="54"/>
      <c r="J44" s="54">
        <v>9</v>
      </c>
    </row>
    <row r="45" spans="1:10" ht="15.75" customHeight="1">
      <c r="A45" s="22" t="s">
        <v>141</v>
      </c>
      <c r="B45" s="54">
        <v>79</v>
      </c>
      <c r="C45" s="54"/>
      <c r="D45" s="54"/>
      <c r="E45" s="54">
        <v>79</v>
      </c>
      <c r="F45" s="54"/>
      <c r="G45" s="54"/>
      <c r="H45" s="54"/>
      <c r="I45" s="54"/>
      <c r="J45" s="54"/>
    </row>
    <row r="46" spans="1:10" ht="15.75" customHeight="1">
      <c r="A46" s="22" t="s">
        <v>142</v>
      </c>
      <c r="B46" s="54">
        <v>10</v>
      </c>
      <c r="C46" s="54">
        <v>10</v>
      </c>
      <c r="D46" s="54"/>
      <c r="E46" s="54"/>
      <c r="F46" s="54"/>
      <c r="G46" s="54"/>
      <c r="H46" s="54"/>
      <c r="I46" s="54"/>
      <c r="J46" s="54"/>
    </row>
    <row r="47" spans="1:10" ht="15.75" customHeight="1">
      <c r="A47" s="22" t="s">
        <v>143</v>
      </c>
      <c r="B47" s="54">
        <v>39</v>
      </c>
      <c r="C47" s="54"/>
      <c r="D47" s="54"/>
      <c r="E47" s="54">
        <v>27</v>
      </c>
      <c r="F47" s="54"/>
      <c r="G47" s="54">
        <v>3</v>
      </c>
      <c r="H47" s="54"/>
      <c r="I47" s="54"/>
      <c r="J47" s="54">
        <v>9</v>
      </c>
    </row>
    <row r="48" spans="1:10" ht="15.75" customHeight="1">
      <c r="A48" s="22" t="s">
        <v>145</v>
      </c>
      <c r="B48" s="54">
        <v>1816</v>
      </c>
      <c r="C48" s="54">
        <v>198</v>
      </c>
      <c r="D48" s="54">
        <v>600</v>
      </c>
      <c r="E48" s="54">
        <v>836</v>
      </c>
      <c r="F48" s="54"/>
      <c r="G48" s="54">
        <v>61</v>
      </c>
      <c r="H48" s="54">
        <v>10</v>
      </c>
      <c r="I48" s="54"/>
      <c r="J48" s="54">
        <v>111</v>
      </c>
    </row>
    <row r="49" spans="1:10" ht="15.75" customHeight="1">
      <c r="A49" s="22" t="s">
        <v>146</v>
      </c>
      <c r="B49" s="54">
        <v>925</v>
      </c>
      <c r="C49" s="54"/>
      <c r="D49" s="54">
        <v>600</v>
      </c>
      <c r="E49" s="54">
        <v>297</v>
      </c>
      <c r="F49" s="54"/>
      <c r="G49" s="54">
        <v>19</v>
      </c>
      <c r="H49" s="54"/>
      <c r="I49" s="54"/>
      <c r="J49" s="54">
        <v>9</v>
      </c>
    </row>
    <row r="50" spans="1:10" ht="15.75" customHeight="1">
      <c r="A50" s="22" t="s">
        <v>147</v>
      </c>
      <c r="B50" s="54">
        <v>220</v>
      </c>
      <c r="C50" s="54">
        <v>131</v>
      </c>
      <c r="D50" s="54"/>
      <c r="E50" s="54">
        <v>74</v>
      </c>
      <c r="F50" s="54"/>
      <c r="G50" s="54">
        <v>5</v>
      </c>
      <c r="H50" s="54"/>
      <c r="I50" s="54"/>
      <c r="J50" s="54">
        <v>10</v>
      </c>
    </row>
    <row r="51" spans="1:10" ht="15.75" customHeight="1">
      <c r="A51" s="22" t="s">
        <v>148</v>
      </c>
      <c r="B51" s="54">
        <v>164</v>
      </c>
      <c r="C51" s="54"/>
      <c r="D51" s="54"/>
      <c r="E51" s="54">
        <v>118</v>
      </c>
      <c r="F51" s="54"/>
      <c r="G51" s="54">
        <v>16</v>
      </c>
      <c r="H51" s="54">
        <v>10</v>
      </c>
      <c r="I51" s="54"/>
      <c r="J51" s="54">
        <v>20</v>
      </c>
    </row>
    <row r="52" spans="1:10" ht="15.75" customHeight="1">
      <c r="A52" s="22" t="s">
        <v>149</v>
      </c>
      <c r="B52" s="54">
        <v>440</v>
      </c>
      <c r="C52" s="54"/>
      <c r="D52" s="54"/>
      <c r="E52" s="54">
        <v>347</v>
      </c>
      <c r="F52" s="54"/>
      <c r="G52" s="54">
        <v>21</v>
      </c>
      <c r="H52" s="54"/>
      <c r="I52" s="54"/>
      <c r="J52" s="54">
        <v>72</v>
      </c>
    </row>
    <row r="53" spans="1:10" ht="15.75" customHeight="1">
      <c r="A53" s="22" t="s">
        <v>150</v>
      </c>
      <c r="B53" s="54">
        <v>67</v>
      </c>
      <c r="C53" s="54">
        <v>67</v>
      </c>
      <c r="D53" s="54"/>
      <c r="E53" s="54"/>
      <c r="F53" s="54"/>
      <c r="G53" s="54"/>
      <c r="H53" s="54"/>
      <c r="I53" s="54"/>
      <c r="J53" s="54"/>
    </row>
    <row r="54" spans="1:10" ht="15.75" customHeight="1">
      <c r="A54" s="22" t="s">
        <v>151</v>
      </c>
      <c r="B54" s="54">
        <v>30715</v>
      </c>
      <c r="C54" s="54">
        <v>23538</v>
      </c>
      <c r="D54" s="54"/>
      <c r="E54" s="54">
        <v>4415</v>
      </c>
      <c r="F54" s="54">
        <v>2020</v>
      </c>
      <c r="G54" s="54">
        <v>236</v>
      </c>
      <c r="H54" s="54">
        <v>84</v>
      </c>
      <c r="I54" s="54"/>
      <c r="J54" s="54">
        <v>422</v>
      </c>
    </row>
    <row r="55" spans="1:10" ht="15.75" customHeight="1">
      <c r="A55" s="22" t="s">
        <v>152</v>
      </c>
      <c r="B55" s="54">
        <v>1103</v>
      </c>
      <c r="C55" s="54"/>
      <c r="D55" s="54"/>
      <c r="E55" s="54">
        <v>929</v>
      </c>
      <c r="F55" s="54"/>
      <c r="G55" s="54">
        <v>63</v>
      </c>
      <c r="H55" s="54">
        <v>14</v>
      </c>
      <c r="I55" s="54"/>
      <c r="J55" s="54">
        <v>97</v>
      </c>
    </row>
    <row r="56" spans="1:10" ht="15.75" customHeight="1">
      <c r="A56" s="22" t="s">
        <v>153</v>
      </c>
      <c r="B56" s="54">
        <v>617</v>
      </c>
      <c r="C56" s="54"/>
      <c r="D56" s="54"/>
      <c r="E56" s="54">
        <v>325</v>
      </c>
      <c r="F56" s="54"/>
      <c r="G56" s="54">
        <v>40</v>
      </c>
      <c r="H56" s="54">
        <v>70</v>
      </c>
      <c r="I56" s="54"/>
      <c r="J56" s="54">
        <v>182</v>
      </c>
    </row>
    <row r="57" spans="1:10" ht="15.75" customHeight="1">
      <c r="A57" s="22" t="s">
        <v>154</v>
      </c>
      <c r="B57" s="54">
        <v>15700</v>
      </c>
      <c r="C57" s="54">
        <v>14766</v>
      </c>
      <c r="D57" s="54"/>
      <c r="E57" s="54">
        <v>498</v>
      </c>
      <c r="F57" s="54">
        <v>436</v>
      </c>
      <c r="G57" s="54"/>
      <c r="H57" s="54"/>
      <c r="I57" s="54"/>
      <c r="J57" s="54"/>
    </row>
    <row r="58" spans="1:10" ht="15.75" customHeight="1">
      <c r="A58" s="22" t="s">
        <v>155</v>
      </c>
      <c r="B58" s="54">
        <v>1611</v>
      </c>
      <c r="C58" s="54"/>
      <c r="D58" s="54"/>
      <c r="E58" s="54">
        <v>1611</v>
      </c>
      <c r="F58" s="54"/>
      <c r="G58" s="54"/>
      <c r="H58" s="54"/>
      <c r="I58" s="54"/>
      <c r="J58" s="54"/>
    </row>
    <row r="59" spans="1:10" ht="15.75" customHeight="1">
      <c r="A59" s="22" t="s">
        <v>156</v>
      </c>
      <c r="B59" s="54">
        <v>505</v>
      </c>
      <c r="C59" s="54"/>
      <c r="D59" s="54"/>
      <c r="E59" s="54">
        <v>358</v>
      </c>
      <c r="F59" s="54">
        <v>52</v>
      </c>
      <c r="G59" s="54">
        <v>95</v>
      </c>
      <c r="H59" s="54"/>
      <c r="I59" s="54"/>
      <c r="J59" s="54"/>
    </row>
    <row r="60" spans="1:10" ht="15.75" customHeight="1">
      <c r="A60" s="22" t="s">
        <v>158</v>
      </c>
      <c r="B60" s="54">
        <v>195</v>
      </c>
      <c r="C60" s="54">
        <v>2</v>
      </c>
      <c r="D60" s="54"/>
      <c r="E60" s="54">
        <v>182</v>
      </c>
      <c r="F60" s="54"/>
      <c r="G60" s="54">
        <v>11</v>
      </c>
      <c r="H60" s="54"/>
      <c r="I60" s="54"/>
      <c r="J60" s="54"/>
    </row>
    <row r="61" spans="1:10" ht="15.75" customHeight="1">
      <c r="A61" s="22" t="s">
        <v>159</v>
      </c>
      <c r="B61" s="54">
        <v>82</v>
      </c>
      <c r="C61" s="54"/>
      <c r="D61" s="54"/>
      <c r="E61" s="54">
        <v>82</v>
      </c>
      <c r="F61" s="54"/>
      <c r="G61" s="54"/>
      <c r="H61" s="54"/>
      <c r="I61" s="54"/>
      <c r="J61" s="54"/>
    </row>
    <row r="62" spans="1:10" ht="15.75" customHeight="1">
      <c r="A62" s="22" t="s">
        <v>160</v>
      </c>
      <c r="B62" s="54">
        <v>882</v>
      </c>
      <c r="C62" s="54">
        <v>219</v>
      </c>
      <c r="D62" s="54"/>
      <c r="E62" s="54">
        <v>272</v>
      </c>
      <c r="F62" s="54">
        <v>272</v>
      </c>
      <c r="G62" s="54">
        <v>23</v>
      </c>
      <c r="H62" s="54"/>
      <c r="I62" s="54"/>
      <c r="J62" s="54">
        <v>96</v>
      </c>
    </row>
    <row r="63" spans="1:10" ht="15.75" customHeight="1">
      <c r="A63" s="22" t="s">
        <v>161</v>
      </c>
      <c r="B63" s="54">
        <v>1080</v>
      </c>
      <c r="C63" s="54">
        <v>293</v>
      </c>
      <c r="D63" s="54"/>
      <c r="E63" s="54">
        <v>102</v>
      </c>
      <c r="F63" s="54">
        <v>640</v>
      </c>
      <c r="G63" s="54">
        <v>4</v>
      </c>
      <c r="H63" s="54"/>
      <c r="I63" s="54"/>
      <c r="J63" s="54">
        <v>41</v>
      </c>
    </row>
    <row r="64" spans="1:10" ht="15.75" customHeight="1">
      <c r="A64" s="22" t="s">
        <v>40</v>
      </c>
      <c r="B64" s="54">
        <v>400</v>
      </c>
      <c r="C64" s="54">
        <v>400</v>
      </c>
      <c r="D64" s="54"/>
      <c r="E64" s="54"/>
      <c r="F64" s="54"/>
      <c r="G64" s="54"/>
      <c r="H64" s="54"/>
      <c r="I64" s="54"/>
      <c r="J64" s="54"/>
    </row>
    <row r="65" spans="1:10" ht="15.75" customHeight="1">
      <c r="A65" s="22" t="s">
        <v>162</v>
      </c>
      <c r="B65" s="54">
        <v>62</v>
      </c>
      <c r="C65" s="54"/>
      <c r="D65" s="54"/>
      <c r="E65" s="54">
        <v>56</v>
      </c>
      <c r="F65" s="54"/>
      <c r="G65" s="54"/>
      <c r="H65" s="54"/>
      <c r="I65" s="54"/>
      <c r="J65" s="54">
        <v>6</v>
      </c>
    </row>
    <row r="66" spans="1:10" ht="15.75" customHeight="1">
      <c r="A66" s="23" t="s">
        <v>163</v>
      </c>
      <c r="B66" s="54">
        <v>6259</v>
      </c>
      <c r="C66" s="54">
        <v>6259</v>
      </c>
      <c r="D66" s="54"/>
      <c r="E66" s="54"/>
      <c r="F66" s="54"/>
      <c r="G66" s="54"/>
      <c r="H66" s="54"/>
      <c r="I66" s="54"/>
      <c r="J66" s="54"/>
    </row>
    <row r="67" spans="1:10" ht="15.75" customHeight="1">
      <c r="A67" s="22" t="s">
        <v>164</v>
      </c>
      <c r="B67" s="54">
        <v>256</v>
      </c>
      <c r="C67" s="54">
        <v>236</v>
      </c>
      <c r="D67" s="54"/>
      <c r="E67" s="54"/>
      <c r="F67" s="54">
        <v>20</v>
      </c>
      <c r="G67" s="54"/>
      <c r="H67" s="54"/>
      <c r="I67" s="54"/>
      <c r="J67" s="54"/>
    </row>
    <row r="68" spans="1:10" ht="15.75" customHeight="1">
      <c r="A68" s="22" t="s">
        <v>165</v>
      </c>
      <c r="B68" s="54">
        <v>1373</v>
      </c>
      <c r="C68" s="54">
        <v>773</v>
      </c>
      <c r="D68" s="54"/>
      <c r="E68" s="54"/>
      <c r="F68" s="54">
        <v>600</v>
      </c>
      <c r="G68" s="54"/>
      <c r="H68" s="54"/>
      <c r="I68" s="54"/>
      <c r="J68" s="54"/>
    </row>
    <row r="69" spans="1:10" ht="15.75" customHeight="1">
      <c r="A69" s="22" t="s">
        <v>167</v>
      </c>
      <c r="B69" s="54">
        <v>590</v>
      </c>
      <c r="C69" s="54">
        <v>590</v>
      </c>
      <c r="D69" s="54"/>
      <c r="E69" s="54"/>
      <c r="F69" s="54"/>
      <c r="G69" s="54"/>
      <c r="H69" s="54"/>
      <c r="I69" s="54"/>
      <c r="J69" s="54"/>
    </row>
    <row r="70" spans="1:10" ht="15.75" customHeight="1">
      <c r="A70" s="22" t="s">
        <v>168</v>
      </c>
      <c r="B70" s="54">
        <v>8700</v>
      </c>
      <c r="C70" s="54">
        <v>1265</v>
      </c>
      <c r="D70" s="54">
        <v>400</v>
      </c>
      <c r="E70" s="54">
        <v>4620</v>
      </c>
      <c r="F70" s="54">
        <v>1932</v>
      </c>
      <c r="G70" s="54">
        <v>77</v>
      </c>
      <c r="H70" s="54"/>
      <c r="I70" s="54">
        <v>19</v>
      </c>
      <c r="J70" s="54">
        <v>387</v>
      </c>
    </row>
    <row r="71" spans="1:10" ht="15.75" customHeight="1">
      <c r="A71" s="22" t="s">
        <v>169</v>
      </c>
      <c r="B71" s="54">
        <v>300</v>
      </c>
      <c r="C71" s="54"/>
      <c r="D71" s="54"/>
      <c r="E71" s="54">
        <v>299</v>
      </c>
      <c r="F71" s="54"/>
      <c r="G71" s="54"/>
      <c r="H71" s="54"/>
      <c r="I71" s="54"/>
      <c r="J71" s="54">
        <v>1</v>
      </c>
    </row>
    <row r="72" spans="1:10" ht="15.75" customHeight="1">
      <c r="A72" s="22" t="s">
        <v>170</v>
      </c>
      <c r="B72" s="54">
        <v>1644</v>
      </c>
      <c r="C72" s="54"/>
      <c r="D72" s="54">
        <v>400</v>
      </c>
      <c r="E72" s="54">
        <v>1194</v>
      </c>
      <c r="F72" s="54"/>
      <c r="G72" s="54"/>
      <c r="H72" s="54"/>
      <c r="I72" s="54"/>
      <c r="J72" s="54">
        <v>50</v>
      </c>
    </row>
    <row r="73" spans="1:10" ht="15.75" customHeight="1">
      <c r="A73" s="22" t="s">
        <v>171</v>
      </c>
      <c r="B73" s="54">
        <v>852</v>
      </c>
      <c r="C73" s="54"/>
      <c r="D73" s="54"/>
      <c r="E73" s="54">
        <v>852</v>
      </c>
      <c r="F73" s="54"/>
      <c r="G73" s="54"/>
      <c r="H73" s="54"/>
      <c r="I73" s="54"/>
      <c r="J73" s="54"/>
    </row>
    <row r="74" spans="1:10" ht="15.75" customHeight="1">
      <c r="A74" s="22" t="s">
        <v>172</v>
      </c>
      <c r="B74" s="54">
        <v>982</v>
      </c>
      <c r="C74" s="54">
        <v>68</v>
      </c>
      <c r="D74" s="54"/>
      <c r="E74" s="54">
        <v>697</v>
      </c>
      <c r="F74" s="54"/>
      <c r="G74" s="54">
        <v>37</v>
      </c>
      <c r="H74" s="54"/>
      <c r="I74" s="54"/>
      <c r="J74" s="54">
        <v>180</v>
      </c>
    </row>
    <row r="75" spans="1:10" ht="15.75" customHeight="1">
      <c r="A75" s="22" t="s">
        <v>173</v>
      </c>
      <c r="B75" s="54">
        <v>3480</v>
      </c>
      <c r="C75" s="54">
        <v>1141</v>
      </c>
      <c r="D75" s="54"/>
      <c r="E75" s="54">
        <v>407</v>
      </c>
      <c r="F75" s="54">
        <v>1932</v>
      </c>
      <c r="G75" s="54"/>
      <c r="H75" s="54"/>
      <c r="I75" s="54"/>
      <c r="J75" s="54"/>
    </row>
    <row r="76" spans="1:10" ht="15.75" customHeight="1">
      <c r="A76" s="22" t="s">
        <v>174</v>
      </c>
      <c r="B76" s="54">
        <v>1253</v>
      </c>
      <c r="C76" s="54">
        <v>51</v>
      </c>
      <c r="D76" s="54"/>
      <c r="E76" s="54">
        <v>999</v>
      </c>
      <c r="F76" s="54"/>
      <c r="G76" s="54">
        <v>28</v>
      </c>
      <c r="H76" s="54"/>
      <c r="I76" s="54">
        <v>19</v>
      </c>
      <c r="J76" s="54">
        <v>156</v>
      </c>
    </row>
    <row r="77" spans="1:10" ht="15.75" customHeight="1">
      <c r="A77" s="22" t="s">
        <v>175</v>
      </c>
      <c r="B77" s="54">
        <v>189</v>
      </c>
      <c r="C77" s="54">
        <v>5</v>
      </c>
      <c r="D77" s="54"/>
      <c r="E77" s="54">
        <v>172</v>
      </c>
      <c r="F77" s="54"/>
      <c r="G77" s="54">
        <v>12</v>
      </c>
      <c r="H77" s="54"/>
      <c r="I77" s="54"/>
      <c r="J77" s="54"/>
    </row>
    <row r="78" spans="1:10" ht="15.75" customHeight="1">
      <c r="A78" s="22" t="s">
        <v>177</v>
      </c>
      <c r="B78" s="54">
        <v>2021</v>
      </c>
      <c r="C78" s="54"/>
      <c r="D78" s="54">
        <v>1739</v>
      </c>
      <c r="E78" s="54">
        <v>270</v>
      </c>
      <c r="F78" s="54"/>
      <c r="G78" s="54">
        <v>9</v>
      </c>
      <c r="H78" s="54"/>
      <c r="I78" s="54"/>
      <c r="J78" s="54">
        <v>3</v>
      </c>
    </row>
    <row r="79" spans="1:10" ht="15.75" customHeight="1">
      <c r="A79" s="22" t="s">
        <v>178</v>
      </c>
      <c r="B79" s="54">
        <v>279</v>
      </c>
      <c r="C79" s="54"/>
      <c r="D79" s="54"/>
      <c r="E79" s="54">
        <v>270</v>
      </c>
      <c r="F79" s="54"/>
      <c r="G79" s="54">
        <v>9</v>
      </c>
      <c r="H79" s="54"/>
      <c r="I79" s="54"/>
      <c r="J79" s="54"/>
    </row>
    <row r="80" spans="1:10" ht="15.75" customHeight="1">
      <c r="A80" s="22" t="s">
        <v>179</v>
      </c>
      <c r="B80" s="54">
        <v>1739</v>
      </c>
      <c r="C80" s="54"/>
      <c r="D80" s="54">
        <v>1739</v>
      </c>
      <c r="E80" s="54"/>
      <c r="F80" s="54"/>
      <c r="G80" s="54"/>
      <c r="H80" s="54"/>
      <c r="I80" s="54"/>
      <c r="J80" s="54"/>
    </row>
    <row r="81" spans="1:10" ht="15.75" customHeight="1">
      <c r="A81" s="22" t="s">
        <v>183</v>
      </c>
      <c r="B81" s="54">
        <v>3</v>
      </c>
      <c r="C81" s="54"/>
      <c r="D81" s="54"/>
      <c r="E81" s="54"/>
      <c r="F81" s="54"/>
      <c r="G81" s="54"/>
      <c r="H81" s="54"/>
      <c r="I81" s="54"/>
      <c r="J81" s="54">
        <v>3</v>
      </c>
    </row>
    <row r="82" spans="1:10" ht="15.75" customHeight="1">
      <c r="A82" s="22" t="s">
        <v>184</v>
      </c>
      <c r="B82" s="54">
        <f>22403+1</f>
        <v>22404</v>
      </c>
      <c r="C82" s="54"/>
      <c r="D82" s="54"/>
      <c r="E82" s="54">
        <v>4140</v>
      </c>
      <c r="F82" s="54">
        <v>23</v>
      </c>
      <c r="G82" s="54">
        <v>191</v>
      </c>
      <c r="H82" s="54">
        <v>172</v>
      </c>
      <c r="I82" s="54">
        <v>1005</v>
      </c>
      <c r="J82" s="54">
        <v>16873</v>
      </c>
    </row>
    <row r="83" spans="1:10" ht="15.75" customHeight="1">
      <c r="A83" s="22" t="s">
        <v>185</v>
      </c>
      <c r="B83" s="54">
        <v>1627</v>
      </c>
      <c r="C83" s="54"/>
      <c r="D83" s="54"/>
      <c r="E83" s="54">
        <v>1428</v>
      </c>
      <c r="F83" s="54"/>
      <c r="G83" s="54">
        <v>100</v>
      </c>
      <c r="H83" s="54">
        <v>29</v>
      </c>
      <c r="I83" s="54">
        <v>5</v>
      </c>
      <c r="J83" s="54">
        <v>65</v>
      </c>
    </row>
    <row r="84" spans="1:10" ht="15.75" customHeight="1">
      <c r="A84" s="22" t="s">
        <v>186</v>
      </c>
      <c r="B84" s="54">
        <v>608</v>
      </c>
      <c r="C84" s="54"/>
      <c r="D84" s="54"/>
      <c r="E84" s="54">
        <v>531</v>
      </c>
      <c r="F84" s="54"/>
      <c r="G84" s="54">
        <v>39</v>
      </c>
      <c r="H84" s="54"/>
      <c r="I84" s="54"/>
      <c r="J84" s="54">
        <v>38</v>
      </c>
    </row>
    <row r="85" spans="1:10" ht="15.75" customHeight="1">
      <c r="A85" s="22" t="s">
        <v>187</v>
      </c>
      <c r="B85" s="54">
        <v>17764</v>
      </c>
      <c r="C85" s="54"/>
      <c r="D85" s="54"/>
      <c r="E85" s="54">
        <v>287</v>
      </c>
      <c r="F85" s="54"/>
      <c r="G85" s="54">
        <v>23</v>
      </c>
      <c r="H85" s="54">
        <v>143</v>
      </c>
      <c r="I85" s="54">
        <v>1000</v>
      </c>
      <c r="J85" s="54">
        <v>16311</v>
      </c>
    </row>
    <row r="86" spans="1:10" ht="15.75" customHeight="1">
      <c r="A86" s="22" t="s">
        <v>188</v>
      </c>
      <c r="B86" s="54">
        <v>2405</v>
      </c>
      <c r="C86" s="54"/>
      <c r="D86" s="54"/>
      <c r="E86" s="54">
        <v>1894</v>
      </c>
      <c r="F86" s="54">
        <v>23</v>
      </c>
      <c r="G86" s="54">
        <v>29</v>
      </c>
      <c r="H86" s="54"/>
      <c r="I86" s="54"/>
      <c r="J86" s="54">
        <v>459</v>
      </c>
    </row>
    <row r="87" spans="1:10" ht="15.75" customHeight="1">
      <c r="A87" s="22" t="s">
        <v>190</v>
      </c>
      <c r="B87" s="54">
        <v>9532</v>
      </c>
      <c r="C87" s="54">
        <v>2018</v>
      </c>
      <c r="D87" s="54">
        <v>689</v>
      </c>
      <c r="E87" s="54">
        <v>4738</v>
      </c>
      <c r="F87" s="54">
        <v>838</v>
      </c>
      <c r="G87" s="54">
        <v>260</v>
      </c>
      <c r="H87" s="54">
        <v>128</v>
      </c>
      <c r="I87" s="54"/>
      <c r="J87" s="54">
        <v>861</v>
      </c>
    </row>
    <row r="88" spans="1:10" ht="15.75" customHeight="1">
      <c r="A88" s="22" t="s">
        <v>191</v>
      </c>
      <c r="B88" s="54">
        <v>3117</v>
      </c>
      <c r="C88" s="54">
        <v>45</v>
      </c>
      <c r="D88" s="54">
        <v>89</v>
      </c>
      <c r="E88" s="54">
        <v>2560</v>
      </c>
      <c r="F88" s="54">
        <v>61</v>
      </c>
      <c r="G88" s="54">
        <v>119</v>
      </c>
      <c r="H88" s="54">
        <v>64</v>
      </c>
      <c r="I88" s="54"/>
      <c r="J88" s="54">
        <v>179</v>
      </c>
    </row>
    <row r="89" spans="1:10" ht="15.75" customHeight="1">
      <c r="A89" s="22" t="s">
        <v>192</v>
      </c>
      <c r="B89" s="54">
        <v>1491</v>
      </c>
      <c r="C89" s="54">
        <v>15</v>
      </c>
      <c r="D89" s="54">
        <v>600</v>
      </c>
      <c r="E89" s="54">
        <v>786</v>
      </c>
      <c r="F89" s="54"/>
      <c r="G89" s="54">
        <v>30</v>
      </c>
      <c r="H89" s="54">
        <v>60</v>
      </c>
      <c r="I89" s="54"/>
      <c r="J89" s="54"/>
    </row>
    <row r="90" spans="1:10" ht="15.75" customHeight="1">
      <c r="A90" s="22" t="s">
        <v>193</v>
      </c>
      <c r="B90" s="54">
        <v>2578</v>
      </c>
      <c r="C90" s="54">
        <v>435</v>
      </c>
      <c r="D90" s="54"/>
      <c r="E90" s="54">
        <v>1271</v>
      </c>
      <c r="F90" s="54">
        <v>96</v>
      </c>
      <c r="G90" s="54">
        <v>97</v>
      </c>
      <c r="H90" s="54">
        <v>4</v>
      </c>
      <c r="I90" s="54"/>
      <c r="J90" s="54">
        <v>675</v>
      </c>
    </row>
    <row r="91" spans="1:10" ht="15.75" customHeight="1">
      <c r="A91" s="22" t="s">
        <v>194</v>
      </c>
      <c r="B91" s="54">
        <v>200</v>
      </c>
      <c r="C91" s="54"/>
      <c r="D91" s="54"/>
      <c r="E91" s="54"/>
      <c r="F91" s="54">
        <v>200</v>
      </c>
      <c r="G91" s="54"/>
      <c r="H91" s="54"/>
      <c r="I91" s="54"/>
      <c r="J91" s="54"/>
    </row>
    <row r="92" spans="1:10" ht="15.75" customHeight="1">
      <c r="A92" s="22" t="s">
        <v>195</v>
      </c>
      <c r="B92" s="54">
        <v>140</v>
      </c>
      <c r="C92" s="54"/>
      <c r="D92" s="54"/>
      <c r="E92" s="54">
        <v>121</v>
      </c>
      <c r="F92" s="54"/>
      <c r="G92" s="54">
        <v>14</v>
      </c>
      <c r="H92" s="54"/>
      <c r="I92" s="54"/>
      <c r="J92" s="54">
        <v>5</v>
      </c>
    </row>
    <row r="93" spans="1:10" ht="15.75" customHeight="1">
      <c r="A93" s="22" t="s">
        <v>196</v>
      </c>
      <c r="B93" s="54">
        <v>702</v>
      </c>
      <c r="C93" s="54">
        <v>700</v>
      </c>
      <c r="D93" s="54"/>
      <c r="E93" s="54"/>
      <c r="F93" s="54"/>
      <c r="G93" s="54"/>
      <c r="H93" s="54"/>
      <c r="I93" s="54"/>
      <c r="J93" s="54">
        <v>2</v>
      </c>
    </row>
    <row r="94" spans="1:10" ht="15.75" customHeight="1">
      <c r="A94" s="72" t="s">
        <v>297</v>
      </c>
      <c r="B94" s="54">
        <v>1304</v>
      </c>
      <c r="C94" s="54">
        <v>823</v>
      </c>
      <c r="D94" s="54"/>
      <c r="E94" s="54"/>
      <c r="F94" s="54">
        <v>481</v>
      </c>
      <c r="G94" s="54"/>
      <c r="H94" s="54"/>
      <c r="I94" s="54"/>
      <c r="J94" s="54"/>
    </row>
    <row r="95" spans="1:10" ht="15.75" customHeight="1">
      <c r="A95" s="22" t="s">
        <v>198</v>
      </c>
      <c r="B95" s="54">
        <v>5146</v>
      </c>
      <c r="C95" s="54">
        <v>374</v>
      </c>
      <c r="D95" s="54">
        <v>2576</v>
      </c>
      <c r="E95" s="54">
        <v>1755</v>
      </c>
      <c r="F95" s="54">
        <v>56</v>
      </c>
      <c r="G95" s="54">
        <v>134</v>
      </c>
      <c r="H95" s="54">
        <v>30</v>
      </c>
      <c r="I95" s="54">
        <v>66</v>
      </c>
      <c r="J95" s="54">
        <v>155</v>
      </c>
    </row>
    <row r="96" spans="1:10" ht="15.75" customHeight="1">
      <c r="A96" s="22" t="s">
        <v>199</v>
      </c>
      <c r="B96" s="54">
        <v>5146</v>
      </c>
      <c r="C96" s="54">
        <v>374</v>
      </c>
      <c r="D96" s="54">
        <v>2576</v>
      </c>
      <c r="E96" s="54">
        <v>1755</v>
      </c>
      <c r="F96" s="54">
        <v>56</v>
      </c>
      <c r="G96" s="54">
        <v>134</v>
      </c>
      <c r="H96" s="54">
        <v>30</v>
      </c>
      <c r="I96" s="54">
        <v>66</v>
      </c>
      <c r="J96" s="54">
        <v>155</v>
      </c>
    </row>
    <row r="97" spans="1:10" ht="15.75" customHeight="1">
      <c r="A97" s="22" t="s">
        <v>200</v>
      </c>
      <c r="B97" s="54">
        <f>5387-1</f>
        <v>5386</v>
      </c>
      <c r="C97" s="54">
        <v>884</v>
      </c>
      <c r="D97" s="54">
        <v>200</v>
      </c>
      <c r="E97" s="54">
        <v>1489</v>
      </c>
      <c r="F97" s="54"/>
      <c r="G97" s="54">
        <v>54</v>
      </c>
      <c r="H97" s="54">
        <v>740</v>
      </c>
      <c r="I97" s="54">
        <v>38</v>
      </c>
      <c r="J97" s="54">
        <v>1981</v>
      </c>
    </row>
    <row r="98" spans="1:10" ht="15.75" customHeight="1">
      <c r="A98" s="22" t="s">
        <v>201</v>
      </c>
      <c r="B98" s="54">
        <v>505</v>
      </c>
      <c r="C98" s="54"/>
      <c r="D98" s="54"/>
      <c r="E98" s="54">
        <v>258</v>
      </c>
      <c r="F98" s="54"/>
      <c r="G98" s="54">
        <v>20</v>
      </c>
      <c r="H98" s="54">
        <v>51</v>
      </c>
      <c r="I98" s="54"/>
      <c r="J98" s="54">
        <v>176</v>
      </c>
    </row>
    <row r="99" spans="1:10" ht="15.75" customHeight="1">
      <c r="A99" s="22" t="s">
        <v>202</v>
      </c>
      <c r="B99" s="54">
        <v>44</v>
      </c>
      <c r="C99" s="54"/>
      <c r="D99" s="54"/>
      <c r="E99" s="54">
        <v>40</v>
      </c>
      <c r="F99" s="54"/>
      <c r="G99" s="54">
        <v>2</v>
      </c>
      <c r="H99" s="54"/>
      <c r="I99" s="54"/>
      <c r="J99" s="54">
        <v>2</v>
      </c>
    </row>
    <row r="100" spans="1:10" ht="15.75" customHeight="1">
      <c r="A100" s="22" t="s">
        <v>203</v>
      </c>
      <c r="B100" s="54">
        <v>835</v>
      </c>
      <c r="C100" s="54"/>
      <c r="D100" s="54"/>
      <c r="E100" s="54">
        <v>761</v>
      </c>
      <c r="F100" s="54"/>
      <c r="G100" s="54">
        <v>8</v>
      </c>
      <c r="H100" s="54">
        <v>3</v>
      </c>
      <c r="I100" s="54">
        <v>38</v>
      </c>
      <c r="J100" s="54">
        <v>25</v>
      </c>
    </row>
    <row r="101" spans="1:10" ht="15.75" customHeight="1">
      <c r="A101" s="22" t="s">
        <v>204</v>
      </c>
      <c r="B101" s="54">
        <v>1774</v>
      </c>
      <c r="C101" s="54">
        <v>828</v>
      </c>
      <c r="D101" s="54"/>
      <c r="E101" s="54">
        <v>430</v>
      </c>
      <c r="F101" s="54"/>
      <c r="G101" s="54">
        <v>24</v>
      </c>
      <c r="H101" s="54">
        <v>14</v>
      </c>
      <c r="I101" s="54"/>
      <c r="J101" s="54">
        <v>478</v>
      </c>
    </row>
    <row r="102" spans="1:10" ht="15.75" customHeight="1">
      <c r="A102" s="21" t="s">
        <v>24</v>
      </c>
      <c r="B102" s="54">
        <v>2228</v>
      </c>
      <c r="C102" s="54">
        <v>56</v>
      </c>
      <c r="D102" s="54">
        <v>200</v>
      </c>
      <c r="E102" s="54"/>
      <c r="F102" s="54"/>
      <c r="G102" s="54"/>
      <c r="H102" s="54">
        <v>672</v>
      </c>
      <c r="I102" s="54"/>
      <c r="J102" s="54">
        <v>1300</v>
      </c>
    </row>
    <row r="103" spans="1:10" ht="15.75" customHeight="1">
      <c r="A103" s="22" t="s">
        <v>206</v>
      </c>
      <c r="B103" s="54">
        <v>964</v>
      </c>
      <c r="C103" s="54">
        <v>40</v>
      </c>
      <c r="D103" s="54"/>
      <c r="E103" s="54">
        <v>273</v>
      </c>
      <c r="F103" s="54"/>
      <c r="G103" s="54">
        <v>13</v>
      </c>
      <c r="H103" s="54">
        <v>5</v>
      </c>
      <c r="I103" s="54"/>
      <c r="J103" s="54">
        <v>633</v>
      </c>
    </row>
    <row r="104" spans="1:10" ht="15.75" customHeight="1">
      <c r="A104" s="22" t="s">
        <v>207</v>
      </c>
      <c r="B104" s="54">
        <v>203</v>
      </c>
      <c r="C104" s="54"/>
      <c r="D104" s="54"/>
      <c r="E104" s="54">
        <v>193</v>
      </c>
      <c r="F104" s="54"/>
      <c r="G104" s="54">
        <v>10</v>
      </c>
      <c r="H104" s="54"/>
      <c r="I104" s="54"/>
      <c r="J104" s="54"/>
    </row>
    <row r="105" spans="1:10" ht="15.75" customHeight="1">
      <c r="A105" s="22" t="s">
        <v>208</v>
      </c>
      <c r="B105" s="54">
        <v>121</v>
      </c>
      <c r="C105" s="54"/>
      <c r="D105" s="54"/>
      <c r="E105" s="54">
        <v>80</v>
      </c>
      <c r="F105" s="54"/>
      <c r="G105" s="54">
        <v>3</v>
      </c>
      <c r="H105" s="54">
        <v>5</v>
      </c>
      <c r="I105" s="54"/>
      <c r="J105" s="54">
        <v>33</v>
      </c>
    </row>
    <row r="106" spans="1:10" ht="15.75" customHeight="1">
      <c r="A106" s="80" t="s">
        <v>319</v>
      </c>
      <c r="B106" s="54">
        <v>40</v>
      </c>
      <c r="C106" s="54">
        <v>40</v>
      </c>
      <c r="D106" s="54"/>
      <c r="E106" s="54"/>
      <c r="F106" s="54"/>
      <c r="G106" s="54"/>
      <c r="H106" s="54"/>
      <c r="I106" s="54"/>
      <c r="J106" s="54"/>
    </row>
    <row r="107" spans="1:10" ht="15.75" customHeight="1">
      <c r="A107" s="72" t="s">
        <v>292</v>
      </c>
      <c r="B107" s="54">
        <v>600</v>
      </c>
      <c r="C107" s="54"/>
      <c r="D107" s="54"/>
      <c r="E107" s="54"/>
      <c r="F107" s="54"/>
      <c r="G107" s="54"/>
      <c r="H107" s="54"/>
      <c r="I107" s="54"/>
      <c r="J107" s="54">
        <v>600</v>
      </c>
    </row>
    <row r="108" spans="1:10" ht="15.75" customHeight="1">
      <c r="A108" s="22" t="s">
        <v>209</v>
      </c>
      <c r="B108" s="54">
        <v>12</v>
      </c>
      <c r="C108" s="54"/>
      <c r="D108" s="54"/>
      <c r="E108" s="54"/>
      <c r="F108" s="54"/>
      <c r="G108" s="54">
        <v>4</v>
      </c>
      <c r="H108" s="54"/>
      <c r="I108" s="54"/>
      <c r="J108" s="54">
        <v>8</v>
      </c>
    </row>
    <row r="109" spans="1:10" ht="15.75" customHeight="1">
      <c r="A109" s="72" t="s">
        <v>293</v>
      </c>
      <c r="B109" s="54">
        <v>7</v>
      </c>
      <c r="C109" s="54"/>
      <c r="D109" s="54"/>
      <c r="E109" s="54"/>
      <c r="F109" s="54"/>
      <c r="G109" s="54">
        <v>4</v>
      </c>
      <c r="H109" s="54"/>
      <c r="I109" s="54"/>
      <c r="J109" s="54">
        <v>3</v>
      </c>
    </row>
    <row r="110" spans="1:10" ht="15.75" customHeight="1">
      <c r="A110" s="22" t="s">
        <v>210</v>
      </c>
      <c r="B110" s="54">
        <v>5</v>
      </c>
      <c r="C110" s="54"/>
      <c r="D110" s="54"/>
      <c r="E110" s="54"/>
      <c r="F110" s="54"/>
      <c r="G110" s="54"/>
      <c r="H110" s="54"/>
      <c r="I110" s="54"/>
      <c r="J110" s="54">
        <v>5</v>
      </c>
    </row>
    <row r="111" spans="1:10" ht="15.75" customHeight="1">
      <c r="A111" s="22" t="s">
        <v>211</v>
      </c>
      <c r="B111" s="54">
        <f>1698-1</f>
        <v>1697</v>
      </c>
      <c r="C111" s="54"/>
      <c r="D111" s="54"/>
      <c r="E111" s="54">
        <v>1685</v>
      </c>
      <c r="F111" s="54"/>
      <c r="G111" s="54">
        <v>3</v>
      </c>
      <c r="H111" s="54"/>
      <c r="I111" s="54">
        <v>1</v>
      </c>
      <c r="J111" s="54">
        <v>8</v>
      </c>
    </row>
    <row r="112" spans="1:10" ht="15.75" customHeight="1">
      <c r="A112" s="22" t="s">
        <v>212</v>
      </c>
      <c r="B112" s="54">
        <f>1658-1</f>
        <v>1657</v>
      </c>
      <c r="C112" s="54"/>
      <c r="D112" s="54"/>
      <c r="E112" s="54">
        <v>1656</v>
      </c>
      <c r="F112" s="54"/>
      <c r="G112" s="54"/>
      <c r="H112" s="54"/>
      <c r="I112" s="54">
        <v>1</v>
      </c>
      <c r="J112" s="54"/>
    </row>
    <row r="113" spans="1:10" ht="15.75" customHeight="1">
      <c r="A113" s="22" t="s">
        <v>213</v>
      </c>
      <c r="B113" s="54">
        <v>40</v>
      </c>
      <c r="C113" s="54"/>
      <c r="D113" s="54"/>
      <c r="E113" s="54">
        <v>29</v>
      </c>
      <c r="F113" s="54"/>
      <c r="G113" s="54">
        <v>3</v>
      </c>
      <c r="H113" s="54"/>
      <c r="I113" s="54"/>
      <c r="J113" s="54">
        <v>8</v>
      </c>
    </row>
    <row r="114" spans="1:10" ht="15.75" customHeight="1">
      <c r="A114" s="22" t="s">
        <v>214</v>
      </c>
      <c r="B114" s="54">
        <v>742</v>
      </c>
      <c r="C114" s="54"/>
      <c r="D114" s="54"/>
      <c r="E114" s="54">
        <v>184</v>
      </c>
      <c r="F114" s="54">
        <v>549</v>
      </c>
      <c r="G114" s="54"/>
      <c r="H114" s="54"/>
      <c r="I114" s="54"/>
      <c r="J114" s="54">
        <v>9</v>
      </c>
    </row>
    <row r="115" spans="1:10" ht="15.75" customHeight="1">
      <c r="A115" s="22" t="s">
        <v>215</v>
      </c>
      <c r="B115" s="54">
        <v>558</v>
      </c>
      <c r="C115" s="54"/>
      <c r="D115" s="54"/>
      <c r="E115" s="54"/>
      <c r="F115" s="54">
        <v>549</v>
      </c>
      <c r="G115" s="54"/>
      <c r="H115" s="54"/>
      <c r="I115" s="54"/>
      <c r="J115" s="54">
        <v>9</v>
      </c>
    </row>
    <row r="116" spans="1:10" ht="15.75" customHeight="1">
      <c r="A116" s="22" t="s">
        <v>216</v>
      </c>
      <c r="B116" s="54">
        <v>184</v>
      </c>
      <c r="C116" s="54"/>
      <c r="D116" s="54"/>
      <c r="E116" s="54">
        <v>184</v>
      </c>
      <c r="F116" s="54"/>
      <c r="G116" s="54"/>
      <c r="H116" s="54"/>
      <c r="I116" s="54"/>
      <c r="J116" s="54"/>
    </row>
    <row r="117" spans="1:10" ht="15.75" customHeight="1">
      <c r="A117" s="22" t="s">
        <v>218</v>
      </c>
      <c r="B117" s="54">
        <f>258-1</f>
        <v>257</v>
      </c>
      <c r="C117" s="54"/>
      <c r="D117" s="54"/>
      <c r="E117" s="54">
        <v>153</v>
      </c>
      <c r="F117" s="54"/>
      <c r="G117" s="54">
        <v>1</v>
      </c>
      <c r="H117" s="54"/>
      <c r="I117" s="54"/>
      <c r="J117" s="54">
        <v>103</v>
      </c>
    </row>
    <row r="118" spans="1:10" ht="15.75" customHeight="1">
      <c r="A118" s="22" t="s">
        <v>219</v>
      </c>
      <c r="B118" s="54">
        <f>175-1</f>
        <v>174</v>
      </c>
      <c r="C118" s="54"/>
      <c r="D118" s="54"/>
      <c r="E118" s="54">
        <v>138</v>
      </c>
      <c r="F118" s="54"/>
      <c r="G118" s="54"/>
      <c r="H118" s="54"/>
      <c r="I118" s="54"/>
      <c r="J118" s="54">
        <v>36</v>
      </c>
    </row>
    <row r="119" spans="1:10" ht="15.75" customHeight="1">
      <c r="A119" s="22" t="s">
        <v>220</v>
      </c>
      <c r="B119" s="54">
        <v>24</v>
      </c>
      <c r="C119" s="54"/>
      <c r="D119" s="54"/>
      <c r="E119" s="54">
        <v>15</v>
      </c>
      <c r="F119" s="54"/>
      <c r="G119" s="54">
        <v>1</v>
      </c>
      <c r="H119" s="54"/>
      <c r="I119" s="54"/>
      <c r="J119" s="54">
        <v>8</v>
      </c>
    </row>
    <row r="120" spans="1:10" ht="15.75" customHeight="1">
      <c r="A120" s="22" t="s">
        <v>221</v>
      </c>
      <c r="B120" s="54">
        <v>59</v>
      </c>
      <c r="C120" s="54"/>
      <c r="D120" s="54"/>
      <c r="E120" s="54"/>
      <c r="F120" s="54"/>
      <c r="G120" s="54"/>
      <c r="H120" s="54"/>
      <c r="I120" s="54"/>
      <c r="J120" s="54">
        <v>59</v>
      </c>
    </row>
  </sheetData>
  <sheetProtection/>
  <autoFilter ref="A4:J120"/>
  <mergeCells count="3">
    <mergeCell ref="B3:J3"/>
    <mergeCell ref="A1:J1"/>
    <mergeCell ref="A3:A4"/>
  </mergeCells>
  <printOptions horizontalCentered="1"/>
  <pageMargins left="0.11811023622047245" right="0.11811023622047245" top="0.7480314960629921" bottom="0.7480314960629921" header="0.31496062992125984" footer="0.45"/>
  <pageSetup horizontalDpi="600" verticalDpi="600" orientation="portrait" paperSize="9" r:id="rId1"/>
  <ignoredErrors>
    <ignoredError sqref="B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32.25390625" style="0" customWidth="1"/>
    <col min="2" max="2" width="12.875" style="0" customWidth="1"/>
    <col min="3" max="3" width="12.75390625" style="0" customWidth="1"/>
    <col min="4" max="4" width="10.125" style="0" customWidth="1"/>
    <col min="5" max="5" width="10.50390625" style="0" customWidth="1"/>
    <col min="6" max="6" width="10.875" style="0" customWidth="1"/>
    <col min="7" max="7" width="10.50390625" style="75" bestFit="1" customWidth="1"/>
    <col min="8" max="8" width="19.625" style="0" customWidth="1"/>
  </cols>
  <sheetData>
    <row r="1" spans="1:8" ht="35.25" customHeight="1">
      <c r="A1" s="134" t="s">
        <v>298</v>
      </c>
      <c r="B1" s="135"/>
      <c r="C1" s="135"/>
      <c r="D1" s="135"/>
      <c r="E1" s="135"/>
      <c r="F1" s="135"/>
      <c r="G1" s="135"/>
      <c r="H1" s="135"/>
    </row>
    <row r="2" ht="24.75" customHeight="1">
      <c r="H2" s="50" t="s">
        <v>252</v>
      </c>
    </row>
    <row r="3" spans="1:8" ht="26.25" customHeight="1">
      <c r="A3" s="30" t="s">
        <v>239</v>
      </c>
      <c r="B3" s="30" t="s">
        <v>243</v>
      </c>
      <c r="C3" s="30" t="s">
        <v>245</v>
      </c>
      <c r="D3" s="30" t="s">
        <v>247</v>
      </c>
      <c r="E3" s="30" t="s">
        <v>248</v>
      </c>
      <c r="F3" s="30" t="s">
        <v>249</v>
      </c>
      <c r="G3" s="30" t="s">
        <v>250</v>
      </c>
      <c r="H3" s="31" t="s">
        <v>251</v>
      </c>
    </row>
    <row r="4" spans="1:8" ht="26.25" customHeight="1">
      <c r="A4" s="74" t="s">
        <v>299</v>
      </c>
      <c r="B4" s="33">
        <v>51</v>
      </c>
      <c r="C4" s="33"/>
      <c r="D4" s="14">
        <f aca="true" t="shared" si="0" ref="D4:D14">C4/B4</f>
        <v>0</v>
      </c>
      <c r="E4" s="33">
        <v>95</v>
      </c>
      <c r="F4" s="33">
        <f>C4-E4</f>
        <v>-95</v>
      </c>
      <c r="G4" s="16">
        <f aca="true" t="shared" si="1" ref="G4:G14">F4/E4</f>
        <v>-1</v>
      </c>
      <c r="H4" s="36" t="s">
        <v>246</v>
      </c>
    </row>
    <row r="5" spans="1:8" ht="26.25" customHeight="1">
      <c r="A5" s="74" t="s">
        <v>301</v>
      </c>
      <c r="B5" s="33">
        <v>76000</v>
      </c>
      <c r="C5" s="33">
        <v>40743</v>
      </c>
      <c r="D5" s="14">
        <f t="shared" si="0"/>
        <v>0.5360921052631579</v>
      </c>
      <c r="E5" s="33">
        <v>736293</v>
      </c>
      <c r="F5" s="33">
        <f aca="true" t="shared" si="2" ref="F5:F13">C5-E5</f>
        <v>-695550</v>
      </c>
      <c r="G5" s="16">
        <f t="shared" si="1"/>
        <v>-0.944664691909335</v>
      </c>
      <c r="H5" s="34"/>
    </row>
    <row r="6" spans="1:8" ht="26.25" customHeight="1">
      <c r="A6" s="32" t="s">
        <v>240</v>
      </c>
      <c r="B6" s="33">
        <v>1000</v>
      </c>
      <c r="C6" s="33"/>
      <c r="D6" s="14">
        <f t="shared" si="0"/>
        <v>0</v>
      </c>
      <c r="E6" s="33"/>
      <c r="F6" s="33">
        <f t="shared" si="2"/>
        <v>0</v>
      </c>
      <c r="G6" s="16" t="e">
        <f t="shared" si="1"/>
        <v>#DIV/0!</v>
      </c>
      <c r="H6" s="34"/>
    </row>
    <row r="7" spans="1:8" ht="26.25" customHeight="1">
      <c r="A7" s="35" t="s">
        <v>241</v>
      </c>
      <c r="B7" s="33">
        <v>4000</v>
      </c>
      <c r="C7" s="33"/>
      <c r="D7" s="14">
        <f t="shared" si="0"/>
        <v>0</v>
      </c>
      <c r="E7" s="33"/>
      <c r="F7" s="33">
        <f t="shared" si="2"/>
        <v>0</v>
      </c>
      <c r="G7" s="16" t="e">
        <f t="shared" si="1"/>
        <v>#DIV/0!</v>
      </c>
      <c r="H7" s="34"/>
    </row>
    <row r="8" spans="1:13" ht="26.25" customHeight="1">
      <c r="A8" s="32" t="s">
        <v>242</v>
      </c>
      <c r="B8" s="33">
        <v>71000</v>
      </c>
      <c r="C8" s="33">
        <v>40743</v>
      </c>
      <c r="D8" s="14">
        <f t="shared" si="0"/>
        <v>0.5738450704225352</v>
      </c>
      <c r="E8" s="33">
        <v>736293</v>
      </c>
      <c r="F8" s="33">
        <f t="shared" si="2"/>
        <v>-695550</v>
      </c>
      <c r="G8" s="16">
        <f t="shared" si="1"/>
        <v>-0.944664691909335</v>
      </c>
      <c r="H8" s="34"/>
      <c r="M8" s="27"/>
    </row>
    <row r="9" spans="1:8" ht="26.25" customHeight="1">
      <c r="A9" s="74" t="s">
        <v>302</v>
      </c>
      <c r="B9" s="33">
        <v>800</v>
      </c>
      <c r="C9" s="33">
        <v>655</v>
      </c>
      <c r="D9" s="14">
        <f t="shared" si="0"/>
        <v>0.81875</v>
      </c>
      <c r="E9" s="33">
        <v>549</v>
      </c>
      <c r="F9" s="33">
        <f>C9-E9</f>
        <v>106</v>
      </c>
      <c r="G9" s="16">
        <f t="shared" si="1"/>
        <v>0.1930783242258652</v>
      </c>
      <c r="H9" s="34"/>
    </row>
    <row r="10" spans="1:8" ht="26.25" customHeight="1">
      <c r="A10" s="74" t="s">
        <v>303</v>
      </c>
      <c r="B10" s="33">
        <v>80</v>
      </c>
      <c r="C10" s="33"/>
      <c r="D10" s="14">
        <f t="shared" si="0"/>
        <v>0</v>
      </c>
      <c r="E10" s="33"/>
      <c r="F10" s="33"/>
      <c r="G10" s="16" t="e">
        <f t="shared" si="1"/>
        <v>#DIV/0!</v>
      </c>
      <c r="H10" s="34"/>
    </row>
    <row r="11" spans="1:8" ht="26.25" customHeight="1">
      <c r="A11" s="74" t="s">
        <v>304</v>
      </c>
      <c r="B11" s="33">
        <v>600</v>
      </c>
      <c r="C11" s="33"/>
      <c r="D11" s="14">
        <f t="shared" si="0"/>
        <v>0</v>
      </c>
      <c r="E11" s="33">
        <v>393</v>
      </c>
      <c r="F11" s="33">
        <f t="shared" si="2"/>
        <v>-393</v>
      </c>
      <c r="G11" s="16">
        <f t="shared" si="1"/>
        <v>-1</v>
      </c>
      <c r="H11" s="34"/>
    </row>
    <row r="12" spans="1:8" ht="26.25" customHeight="1">
      <c r="A12" s="74" t="s">
        <v>305</v>
      </c>
      <c r="B12" s="33">
        <v>300</v>
      </c>
      <c r="C12" s="33"/>
      <c r="D12" s="14">
        <f t="shared" si="0"/>
        <v>0</v>
      </c>
      <c r="E12" s="33"/>
      <c r="F12" s="33">
        <f>C12-E12</f>
        <v>0</v>
      </c>
      <c r="G12" s="16" t="e">
        <f t="shared" si="1"/>
        <v>#DIV/0!</v>
      </c>
      <c r="H12" s="34"/>
    </row>
    <row r="13" spans="1:8" ht="26.25" customHeight="1">
      <c r="A13" s="74" t="s">
        <v>306</v>
      </c>
      <c r="B13" s="33">
        <v>420</v>
      </c>
      <c r="C13" s="33">
        <v>2</v>
      </c>
      <c r="D13" s="14">
        <f t="shared" si="0"/>
        <v>0.004761904761904762</v>
      </c>
      <c r="E13" s="33">
        <v>5</v>
      </c>
      <c r="F13" s="33">
        <f t="shared" si="2"/>
        <v>-3</v>
      </c>
      <c r="G13" s="16">
        <f t="shared" si="1"/>
        <v>-0.6</v>
      </c>
      <c r="H13" s="34"/>
    </row>
    <row r="14" spans="1:8" ht="26.25" customHeight="1">
      <c r="A14" s="37" t="s">
        <v>244</v>
      </c>
      <c r="B14" s="33">
        <f>SUM(B4:B5,B9:B13)</f>
        <v>78251</v>
      </c>
      <c r="C14" s="33">
        <f>SUM(C4:C5,C9:C13)</f>
        <v>41400</v>
      </c>
      <c r="D14" s="14">
        <f t="shared" si="0"/>
        <v>0.5290667211920614</v>
      </c>
      <c r="E14" s="33">
        <f>SUM(E4:E5,E9:E13)</f>
        <v>737335</v>
      </c>
      <c r="F14" s="33">
        <f>SUM(F4:F5,F9:F13)</f>
        <v>-695935</v>
      </c>
      <c r="G14" s="16">
        <f t="shared" si="1"/>
        <v>-0.9438518448195189</v>
      </c>
      <c r="H14" s="34"/>
    </row>
    <row r="15" spans="1:8" s="45" customFormat="1" ht="24.75" customHeight="1">
      <c r="A15" s="151" t="s">
        <v>300</v>
      </c>
      <c r="B15" s="151"/>
      <c r="C15" s="151"/>
      <c r="D15" s="151"/>
      <c r="E15" s="151"/>
      <c r="F15" s="151"/>
      <c r="G15" s="151"/>
      <c r="H15" s="151"/>
    </row>
    <row r="23" ht="13.5">
      <c r="C23" s="27"/>
    </row>
    <row r="28" ht="13.5">
      <c r="C28" s="18"/>
    </row>
    <row r="29" spans="1:4" ht="13.5">
      <c r="A29" s="27"/>
      <c r="D29" s="38"/>
    </row>
  </sheetData>
  <sheetProtection/>
  <mergeCells count="2">
    <mergeCell ref="A1:H1"/>
    <mergeCell ref="A15:H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0" sqref="A20"/>
    </sheetView>
  </sheetViews>
  <sheetFormatPr defaultColWidth="9.00390625" defaultRowHeight="13.5"/>
  <cols>
    <col min="1" max="1" width="49.125" style="0" customWidth="1"/>
    <col min="4" max="4" width="9.50390625" style="0" customWidth="1"/>
    <col min="5" max="5" width="8.50390625" style="0" bestFit="1" customWidth="1"/>
    <col min="6" max="6" width="8.00390625" style="0" bestFit="1" customWidth="1"/>
    <col min="7" max="8" width="9.625" style="0" bestFit="1" customWidth="1"/>
    <col min="9" max="9" width="33.875" style="109" bestFit="1" customWidth="1"/>
    <col min="10" max="10" width="13.875" style="0" bestFit="1" customWidth="1"/>
    <col min="11" max="11" width="12.75390625" style="0" bestFit="1" customWidth="1"/>
  </cols>
  <sheetData>
    <row r="1" spans="1:8" ht="24" customHeight="1">
      <c r="A1" s="152" t="s">
        <v>341</v>
      </c>
      <c r="B1" s="152"/>
      <c r="C1" s="152"/>
      <c r="D1" s="152"/>
      <c r="E1" s="152"/>
      <c r="F1" s="152"/>
      <c r="G1" s="152"/>
      <c r="H1" s="152"/>
    </row>
    <row r="2" ht="17.25" customHeight="1">
      <c r="H2" s="28" t="s">
        <v>0</v>
      </c>
    </row>
    <row r="3" spans="1:8" ht="18.75">
      <c r="A3" s="24" t="s">
        <v>253</v>
      </c>
      <c r="B3" s="25" t="s">
        <v>260</v>
      </c>
      <c r="C3" s="29" t="s">
        <v>307</v>
      </c>
      <c r="D3" s="29" t="s">
        <v>1</v>
      </c>
      <c r="E3" s="25" t="s">
        <v>261</v>
      </c>
      <c r="F3" s="25" t="s">
        <v>262</v>
      </c>
      <c r="G3" s="108" t="s">
        <v>263</v>
      </c>
      <c r="H3" s="25" t="s">
        <v>264</v>
      </c>
    </row>
    <row r="4" spans="1:11" ht="18.75">
      <c r="A4" s="55" t="s">
        <v>342</v>
      </c>
      <c r="B4" s="56"/>
      <c r="C4" s="56">
        <v>3834</v>
      </c>
      <c r="D4" s="56">
        <f>SUM(D5:D6)</f>
        <v>0</v>
      </c>
      <c r="E4" s="57"/>
      <c r="F4" s="56"/>
      <c r="G4" s="56">
        <f>D4-F4</f>
        <v>0</v>
      </c>
      <c r="H4" s="58"/>
      <c r="I4" s="110"/>
      <c r="J4" s="26"/>
      <c r="K4" s="19"/>
    </row>
    <row r="5" spans="1:11" ht="18.75">
      <c r="A5" s="55" t="s">
        <v>254</v>
      </c>
      <c r="B5" s="56"/>
      <c r="C5" s="56">
        <v>3729</v>
      </c>
      <c r="D5" s="56"/>
      <c r="E5" s="57"/>
      <c r="F5" s="56"/>
      <c r="G5" s="56">
        <f>D5-F5</f>
        <v>0</v>
      </c>
      <c r="H5" s="58"/>
      <c r="I5" s="110"/>
      <c r="J5" s="26"/>
      <c r="K5" s="19"/>
    </row>
    <row r="6" spans="1:11" ht="18.75">
      <c r="A6" s="79" t="s">
        <v>313</v>
      </c>
      <c r="B6" s="56"/>
      <c r="C6" s="56">
        <v>105</v>
      </c>
      <c r="D6" s="56"/>
      <c r="E6" s="57"/>
      <c r="F6" s="56"/>
      <c r="G6" s="56">
        <f>D6-F6</f>
        <v>0</v>
      </c>
      <c r="H6" s="58"/>
      <c r="I6" s="110"/>
      <c r="J6" s="26"/>
      <c r="K6" s="19"/>
    </row>
    <row r="7" spans="1:11" ht="18.75">
      <c r="A7" s="59" t="s">
        <v>343</v>
      </c>
      <c r="B7" s="56">
        <v>37231</v>
      </c>
      <c r="C7" s="56">
        <v>5186</v>
      </c>
      <c r="D7" s="56">
        <v>13592</v>
      </c>
      <c r="E7" s="57">
        <f aca="true" t="shared" si="0" ref="E7:E26">D7/B7</f>
        <v>0.36507211732158684</v>
      </c>
      <c r="F7" s="56">
        <v>702473</v>
      </c>
      <c r="G7" s="56">
        <f>D7-F7</f>
        <v>-688881</v>
      </c>
      <c r="H7" s="58">
        <f aca="true" t="shared" si="1" ref="H7:H26">G7/F7</f>
        <v>-0.9806512136409513</v>
      </c>
      <c r="I7" s="110"/>
      <c r="J7" s="26"/>
      <c r="K7" s="19"/>
    </row>
    <row r="8" spans="1:11" ht="18.75">
      <c r="A8" s="77" t="s">
        <v>308</v>
      </c>
      <c r="B8" s="56">
        <v>35000</v>
      </c>
      <c r="C8" s="56">
        <v>266</v>
      </c>
      <c r="D8" s="56">
        <v>12982</v>
      </c>
      <c r="E8" s="57">
        <f t="shared" si="0"/>
        <v>0.3709142857142857</v>
      </c>
      <c r="F8" s="56">
        <v>700188</v>
      </c>
      <c r="G8" s="56">
        <f aca="true" t="shared" si="2" ref="G8:G26">D8-F8</f>
        <v>-687206</v>
      </c>
      <c r="H8" s="58">
        <f t="shared" si="1"/>
        <v>-0.9814592652259108</v>
      </c>
      <c r="I8" s="110"/>
      <c r="J8" s="26"/>
      <c r="K8" s="19"/>
    </row>
    <row r="9" spans="1:11" ht="18.75">
      <c r="A9" s="76" t="s">
        <v>309</v>
      </c>
      <c r="B9" s="56">
        <v>800</v>
      </c>
      <c r="C9" s="56">
        <v>486</v>
      </c>
      <c r="D9" s="56">
        <v>610</v>
      </c>
      <c r="E9" s="57">
        <f t="shared" si="0"/>
        <v>0.7625</v>
      </c>
      <c r="F9" s="56">
        <v>259</v>
      </c>
      <c r="G9" s="56">
        <f t="shared" si="2"/>
        <v>351</v>
      </c>
      <c r="H9" s="58">
        <f t="shared" si="1"/>
        <v>1.3552123552123552</v>
      </c>
      <c r="I9" s="110"/>
      <c r="J9" s="26"/>
      <c r="K9" s="19"/>
    </row>
    <row r="10" spans="1:11" ht="18.75">
      <c r="A10" s="76" t="s">
        <v>310</v>
      </c>
      <c r="B10" s="56">
        <v>80</v>
      </c>
      <c r="C10" s="56">
        <v>10</v>
      </c>
      <c r="D10" s="56"/>
      <c r="E10" s="57">
        <f t="shared" si="0"/>
        <v>0</v>
      </c>
      <c r="F10" s="56"/>
      <c r="G10" s="56">
        <f t="shared" si="2"/>
        <v>0</v>
      </c>
      <c r="H10" s="58"/>
      <c r="I10" s="110"/>
      <c r="J10" s="26"/>
      <c r="K10" s="19"/>
    </row>
    <row r="11" spans="1:11" ht="18.75">
      <c r="A11" s="59" t="s">
        <v>255</v>
      </c>
      <c r="B11" s="56">
        <v>700</v>
      </c>
      <c r="C11" s="56">
        <v>2497</v>
      </c>
      <c r="D11" s="56"/>
      <c r="E11" s="57">
        <f t="shared" si="0"/>
        <v>0</v>
      </c>
      <c r="F11" s="56"/>
      <c r="G11" s="56">
        <f t="shared" si="2"/>
        <v>0</v>
      </c>
      <c r="H11" s="58"/>
      <c r="I11" s="110"/>
      <c r="J11" s="26"/>
      <c r="K11" s="19"/>
    </row>
    <row r="12" spans="1:11" ht="18.75">
      <c r="A12" s="76" t="s">
        <v>347</v>
      </c>
      <c r="B12" s="56">
        <v>51</v>
      </c>
      <c r="C12" s="56">
        <v>679</v>
      </c>
      <c r="D12" s="56"/>
      <c r="E12" s="57"/>
      <c r="F12" s="56"/>
      <c r="G12" s="56">
        <f t="shared" si="2"/>
        <v>0</v>
      </c>
      <c r="H12" s="58"/>
      <c r="I12" s="110"/>
      <c r="J12" s="26"/>
      <c r="K12" s="19"/>
    </row>
    <row r="13" spans="1:11" ht="18.75">
      <c r="A13" s="60" t="s">
        <v>256</v>
      </c>
      <c r="B13" s="56"/>
      <c r="C13" s="56">
        <v>773</v>
      </c>
      <c r="D13" s="56"/>
      <c r="E13" s="57"/>
      <c r="F13" s="56">
        <v>1819</v>
      </c>
      <c r="G13" s="56">
        <f t="shared" si="2"/>
        <v>-1819</v>
      </c>
      <c r="H13" s="58">
        <f t="shared" si="1"/>
        <v>-1</v>
      </c>
      <c r="I13" s="110"/>
      <c r="J13" s="26"/>
      <c r="K13" s="19"/>
    </row>
    <row r="14" spans="1:11" ht="18.75">
      <c r="A14" s="76" t="s">
        <v>311</v>
      </c>
      <c r="B14" s="56">
        <v>600</v>
      </c>
      <c r="C14" s="56">
        <v>475</v>
      </c>
      <c r="D14" s="56"/>
      <c r="E14" s="57">
        <f t="shared" si="0"/>
        <v>0</v>
      </c>
      <c r="F14" s="56">
        <v>207</v>
      </c>
      <c r="G14" s="56">
        <f t="shared" si="2"/>
        <v>-207</v>
      </c>
      <c r="H14" s="58">
        <f t="shared" si="1"/>
        <v>-1</v>
      </c>
      <c r="I14" s="110"/>
      <c r="J14" s="26"/>
      <c r="K14" s="19"/>
    </row>
    <row r="15" spans="1:11" ht="18.75">
      <c r="A15" s="59" t="s">
        <v>344</v>
      </c>
      <c r="B15" s="56"/>
      <c r="C15" s="56">
        <v>191</v>
      </c>
      <c r="D15" s="56">
        <f>SUM(D16:D18)</f>
        <v>0</v>
      </c>
      <c r="E15" s="57"/>
      <c r="F15" s="56"/>
      <c r="G15" s="56">
        <f t="shared" si="2"/>
        <v>0</v>
      </c>
      <c r="H15" s="58"/>
      <c r="I15" s="110"/>
      <c r="J15" s="26"/>
      <c r="K15" s="19"/>
    </row>
    <row r="16" spans="1:11" ht="18.75">
      <c r="A16" s="76" t="s">
        <v>314</v>
      </c>
      <c r="B16" s="56"/>
      <c r="C16" s="56">
        <v>55</v>
      </c>
      <c r="D16" s="56"/>
      <c r="E16" s="57"/>
      <c r="F16" s="56"/>
      <c r="G16" s="56">
        <f t="shared" si="2"/>
        <v>0</v>
      </c>
      <c r="H16" s="58"/>
      <c r="I16" s="110"/>
      <c r="J16" s="26"/>
      <c r="K16" s="19"/>
    </row>
    <row r="17" spans="1:11" ht="18.75">
      <c r="A17" s="76" t="s">
        <v>315</v>
      </c>
      <c r="B17" s="56"/>
      <c r="C17" s="56">
        <v>118</v>
      </c>
      <c r="D17" s="56"/>
      <c r="E17" s="57"/>
      <c r="F17" s="56"/>
      <c r="G17" s="56">
        <f t="shared" si="2"/>
        <v>0</v>
      </c>
      <c r="H17" s="58"/>
      <c r="I17" s="110"/>
      <c r="J17" s="26"/>
      <c r="K17" s="19"/>
    </row>
    <row r="18" spans="1:11" ht="18.75">
      <c r="A18" s="76" t="s">
        <v>317</v>
      </c>
      <c r="B18" s="56"/>
      <c r="C18" s="56">
        <v>18</v>
      </c>
      <c r="D18" s="56"/>
      <c r="E18" s="57"/>
      <c r="F18" s="56"/>
      <c r="G18" s="56">
        <f t="shared" si="2"/>
        <v>0</v>
      </c>
      <c r="H18" s="58"/>
      <c r="I18" s="110"/>
      <c r="J18" s="26"/>
      <c r="K18" s="19"/>
    </row>
    <row r="19" spans="1:8" ht="18.75">
      <c r="A19" s="59" t="s">
        <v>345</v>
      </c>
      <c r="B19" s="56">
        <v>300</v>
      </c>
      <c r="C19" s="56">
        <v>340</v>
      </c>
      <c r="D19" s="56">
        <f>SUM(D20:D21)</f>
        <v>0</v>
      </c>
      <c r="E19" s="57">
        <f t="shared" si="0"/>
        <v>0</v>
      </c>
      <c r="F19" s="56">
        <v>92</v>
      </c>
      <c r="G19" s="56">
        <f t="shared" si="2"/>
        <v>-92</v>
      </c>
      <c r="H19" s="58">
        <f t="shared" si="1"/>
        <v>-1</v>
      </c>
    </row>
    <row r="20" spans="1:8" ht="18.75">
      <c r="A20" s="59" t="s">
        <v>257</v>
      </c>
      <c r="B20" s="56"/>
      <c r="C20" s="56">
        <v>76</v>
      </c>
      <c r="D20" s="56"/>
      <c r="E20" s="57"/>
      <c r="F20" s="56"/>
      <c r="G20" s="56">
        <f t="shared" si="2"/>
        <v>0</v>
      </c>
      <c r="H20" s="58"/>
    </row>
    <row r="21" spans="1:8" ht="18.75">
      <c r="A21" s="59" t="s">
        <v>258</v>
      </c>
      <c r="B21" s="56">
        <v>300</v>
      </c>
      <c r="C21" s="56">
        <v>264</v>
      </c>
      <c r="D21" s="56"/>
      <c r="E21" s="57">
        <f t="shared" si="0"/>
        <v>0</v>
      </c>
      <c r="F21" s="56">
        <v>92</v>
      </c>
      <c r="G21" s="56">
        <f t="shared" si="2"/>
        <v>-92</v>
      </c>
      <c r="H21" s="58">
        <f t="shared" si="1"/>
        <v>-1</v>
      </c>
    </row>
    <row r="22" spans="1:8" ht="18.75">
      <c r="A22" s="59" t="s">
        <v>346</v>
      </c>
      <c r="B22" s="56">
        <v>423</v>
      </c>
      <c r="C22" s="56">
        <v>3189</v>
      </c>
      <c r="D22" s="56">
        <f>SUM(D23:D25)</f>
        <v>100</v>
      </c>
      <c r="E22" s="57">
        <f t="shared" si="0"/>
        <v>0.2364066193853428</v>
      </c>
      <c r="F22" s="56">
        <v>897</v>
      </c>
      <c r="G22" s="56">
        <f t="shared" si="2"/>
        <v>-797</v>
      </c>
      <c r="H22" s="58">
        <f t="shared" si="1"/>
        <v>-0.8885172798216276</v>
      </c>
    </row>
    <row r="23" spans="1:8" ht="18.75">
      <c r="A23" s="78" t="s">
        <v>312</v>
      </c>
      <c r="B23" s="56">
        <v>3</v>
      </c>
      <c r="C23" s="56">
        <v>4</v>
      </c>
      <c r="D23" s="56"/>
      <c r="E23" s="57">
        <f t="shared" si="0"/>
        <v>0</v>
      </c>
      <c r="F23" s="56">
        <v>791</v>
      </c>
      <c r="G23" s="56">
        <f t="shared" si="2"/>
        <v>-791</v>
      </c>
      <c r="H23" s="58">
        <f t="shared" si="1"/>
        <v>-1</v>
      </c>
    </row>
    <row r="24" spans="1:8" ht="18.75">
      <c r="A24" s="78" t="s">
        <v>316</v>
      </c>
      <c r="B24" s="56"/>
      <c r="C24" s="56">
        <v>2492</v>
      </c>
      <c r="D24" s="56"/>
      <c r="E24" s="57"/>
      <c r="F24" s="56"/>
      <c r="G24" s="56">
        <f t="shared" si="2"/>
        <v>0</v>
      </c>
      <c r="H24" s="58"/>
    </row>
    <row r="25" spans="1:8" ht="18.75">
      <c r="A25" s="61" t="s">
        <v>259</v>
      </c>
      <c r="B25" s="56">
        <v>420</v>
      </c>
      <c r="C25" s="56">
        <v>693</v>
      </c>
      <c r="D25" s="56">
        <v>100</v>
      </c>
      <c r="E25" s="57">
        <f t="shared" si="0"/>
        <v>0.23809523809523808</v>
      </c>
      <c r="F25" s="56">
        <v>106</v>
      </c>
      <c r="G25" s="56">
        <f t="shared" si="2"/>
        <v>-6</v>
      </c>
      <c r="H25" s="58">
        <f t="shared" si="1"/>
        <v>-0.05660377358490566</v>
      </c>
    </row>
    <row r="26" spans="1:8" ht="18.75">
      <c r="A26" s="62" t="s">
        <v>97</v>
      </c>
      <c r="B26" s="56">
        <v>37954</v>
      </c>
      <c r="C26" s="56">
        <f>C4+C7+C15+C19+C22</f>
        <v>12740</v>
      </c>
      <c r="D26" s="56">
        <f>D4+D7+D15+D19+D22</f>
        <v>13692</v>
      </c>
      <c r="E26" s="57">
        <f t="shared" si="0"/>
        <v>0.36075248985614167</v>
      </c>
      <c r="F26" s="56">
        <f>F4+F7+F15+F19+F22</f>
        <v>703462</v>
      </c>
      <c r="G26" s="56">
        <f t="shared" si="2"/>
        <v>-689770</v>
      </c>
      <c r="H26" s="58">
        <f t="shared" si="1"/>
        <v>-0.9805362620866515</v>
      </c>
    </row>
  </sheetData>
  <sheetProtection/>
  <mergeCells count="1">
    <mergeCell ref="A1:H1"/>
  </mergeCells>
  <printOptions horizontalCentered="1"/>
  <pageMargins left="0.11811023622047245" right="0.15748031496062992" top="0.46" bottom="0.5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A17" sqref="A17"/>
    </sheetView>
  </sheetViews>
  <sheetFormatPr defaultColWidth="23.00390625" defaultRowHeight="13.5"/>
  <cols>
    <col min="1" max="1" width="29.25390625" style="0" customWidth="1"/>
    <col min="2" max="2" width="14.375" style="0" customWidth="1"/>
    <col min="3" max="3" width="15.25390625" style="0" customWidth="1"/>
    <col min="4" max="5" width="13.25390625" style="0" customWidth="1"/>
    <col min="6" max="6" width="14.75390625" style="0" customWidth="1"/>
    <col min="7" max="8" width="13.25390625" style="0" customWidth="1"/>
  </cols>
  <sheetData>
    <row r="1" spans="1:8" ht="36.75" customHeight="1">
      <c r="A1" s="134" t="s">
        <v>320</v>
      </c>
      <c r="B1" s="134"/>
      <c r="C1" s="134"/>
      <c r="D1" s="134"/>
      <c r="E1" s="134"/>
      <c r="F1" s="134"/>
      <c r="G1" s="134"/>
      <c r="H1" s="134"/>
    </row>
    <row r="2" ht="25.5" customHeight="1">
      <c r="H2" s="81" t="s">
        <v>321</v>
      </c>
    </row>
    <row r="3" spans="1:8" ht="42" customHeight="1">
      <c r="A3" s="82" t="s">
        <v>27</v>
      </c>
      <c r="B3" s="83" t="s">
        <v>97</v>
      </c>
      <c r="C3" s="83" t="s">
        <v>322</v>
      </c>
      <c r="D3" s="83" t="s">
        <v>28</v>
      </c>
      <c r="E3" s="83" t="s">
        <v>29</v>
      </c>
      <c r="F3" s="83" t="s">
        <v>323</v>
      </c>
      <c r="G3" s="83" t="s">
        <v>30</v>
      </c>
      <c r="H3" s="83" t="s">
        <v>31</v>
      </c>
    </row>
    <row r="4" spans="1:8" ht="27" customHeight="1">
      <c r="A4" s="84" t="s">
        <v>324</v>
      </c>
      <c r="B4" s="85">
        <f>SUM(C4:H4)</f>
        <v>146938</v>
      </c>
      <c r="C4" s="85">
        <f>SUM(C5:C8)</f>
        <v>43088</v>
      </c>
      <c r="D4" s="85">
        <f>SUM(D5:D8)</f>
        <v>25033</v>
      </c>
      <c r="E4" s="85">
        <f>SUM(E5:E8)</f>
        <v>12890</v>
      </c>
      <c r="F4" s="85">
        <f>SUM(F5:F8)</f>
        <v>63561</v>
      </c>
      <c r="G4" s="85">
        <v>1726</v>
      </c>
      <c r="H4" s="85">
        <f>SUM(H5:H8)</f>
        <v>640</v>
      </c>
    </row>
    <row r="5" spans="1:8" ht="27" customHeight="1">
      <c r="A5" s="86" t="s">
        <v>325</v>
      </c>
      <c r="B5" s="85">
        <f>SUM(C5:H5)</f>
        <v>75446</v>
      </c>
      <c r="C5" s="85">
        <v>40148</v>
      </c>
      <c r="D5" s="87">
        <v>6705</v>
      </c>
      <c r="E5" s="87">
        <v>12696</v>
      </c>
      <c r="F5" s="87">
        <v>14319</v>
      </c>
      <c r="G5" s="87">
        <v>971</v>
      </c>
      <c r="H5" s="87">
        <v>607</v>
      </c>
    </row>
    <row r="6" spans="1:8" ht="27" customHeight="1">
      <c r="A6" s="88" t="s">
        <v>326</v>
      </c>
      <c r="B6" s="85">
        <f>SUM(C6:H6)</f>
        <v>1278</v>
      </c>
      <c r="C6" s="85">
        <v>450</v>
      </c>
      <c r="D6" s="87">
        <v>31</v>
      </c>
      <c r="E6" s="87">
        <v>194</v>
      </c>
      <c r="F6" s="87">
        <v>320</v>
      </c>
      <c r="G6" s="87">
        <v>250</v>
      </c>
      <c r="H6" s="87">
        <v>33</v>
      </c>
    </row>
    <row r="7" spans="1:8" ht="27" customHeight="1">
      <c r="A7" s="89" t="s">
        <v>327</v>
      </c>
      <c r="B7" s="90">
        <f>SUM(C7:H7)</f>
        <v>69709</v>
      </c>
      <c r="C7" s="90">
        <v>2490</v>
      </c>
      <c r="D7" s="91">
        <v>18297</v>
      </c>
      <c r="E7" s="91"/>
      <c r="F7" s="91">
        <v>48922</v>
      </c>
      <c r="G7" s="91"/>
      <c r="H7" s="91"/>
    </row>
    <row r="8" spans="1:8" ht="27" customHeight="1">
      <c r="A8" s="92" t="s">
        <v>328</v>
      </c>
      <c r="B8" s="93">
        <f>SUM(C8:H8)</f>
        <v>5</v>
      </c>
      <c r="C8" s="93"/>
      <c r="D8" s="93"/>
      <c r="E8" s="93"/>
      <c r="F8" s="93"/>
      <c r="G8" s="93">
        <v>5</v>
      </c>
      <c r="H8" s="93"/>
    </row>
    <row r="9" spans="1:8" ht="27" customHeight="1">
      <c r="A9" s="92" t="s">
        <v>329</v>
      </c>
      <c r="B9" s="93">
        <f>SUM(C9:H9)</f>
        <v>76926</v>
      </c>
      <c r="C9" s="93">
        <v>15873</v>
      </c>
      <c r="D9" s="93">
        <v>13565</v>
      </c>
      <c r="E9" s="93">
        <v>9407</v>
      </c>
      <c r="F9" s="93">
        <f>766+36443</f>
        <v>37209</v>
      </c>
      <c r="G9" s="93">
        <v>676</v>
      </c>
      <c r="H9" s="93">
        <v>196</v>
      </c>
    </row>
    <row r="10" spans="1:8" ht="27" customHeight="1">
      <c r="A10" s="94" t="s">
        <v>325</v>
      </c>
      <c r="B10" s="93">
        <f>SUM(C10:H10)</f>
        <v>42392</v>
      </c>
      <c r="C10" s="93">
        <v>15808</v>
      </c>
      <c r="D10" s="93">
        <v>4060</v>
      </c>
      <c r="E10" s="93">
        <v>9221</v>
      </c>
      <c r="F10" s="93">
        <f>521+11943</f>
        <v>12464</v>
      </c>
      <c r="G10" s="93">
        <v>648</v>
      </c>
      <c r="H10" s="93">
        <v>191</v>
      </c>
    </row>
    <row r="11" spans="1:8" ht="27" customHeight="1">
      <c r="A11" s="92" t="s">
        <v>326</v>
      </c>
      <c r="B11" s="93">
        <f>SUM(D11:H11)</f>
        <v>0</v>
      </c>
      <c r="C11" s="93"/>
      <c r="D11" s="93"/>
      <c r="E11" s="93"/>
      <c r="F11" s="93"/>
      <c r="G11" s="93"/>
      <c r="H11" s="93"/>
    </row>
    <row r="12" spans="1:8" ht="27" customHeight="1">
      <c r="A12" s="92" t="s">
        <v>327</v>
      </c>
      <c r="B12" s="93"/>
      <c r="C12" s="93"/>
      <c r="D12" s="93">
        <v>9479</v>
      </c>
      <c r="E12" s="93"/>
      <c r="F12" s="93">
        <f>232+24500</f>
        <v>24732</v>
      </c>
      <c r="G12" s="93"/>
      <c r="H12" s="93"/>
    </row>
    <row r="13" spans="1:8" ht="27" customHeight="1">
      <c r="A13" s="92" t="s">
        <v>328</v>
      </c>
      <c r="B13" s="93"/>
      <c r="C13" s="93"/>
      <c r="D13" s="93"/>
      <c r="E13" s="93"/>
      <c r="F13" s="93"/>
      <c r="G13" s="93"/>
      <c r="H13" s="93"/>
    </row>
    <row r="14" spans="1:8" ht="27" customHeight="1">
      <c r="A14" s="92" t="s">
        <v>330</v>
      </c>
      <c r="B14" s="95">
        <f aca="true" t="shared" si="0" ref="B14:H14">B9/B4</f>
        <v>0.5235269297254624</v>
      </c>
      <c r="C14" s="95">
        <f t="shared" si="0"/>
        <v>0.3683856294095804</v>
      </c>
      <c r="D14" s="95">
        <f t="shared" si="0"/>
        <v>0.5418847121799225</v>
      </c>
      <c r="E14" s="95">
        <f t="shared" si="0"/>
        <v>0.7297905352986811</v>
      </c>
      <c r="F14" s="95">
        <f t="shared" si="0"/>
        <v>0.5854061452777647</v>
      </c>
      <c r="G14" s="95">
        <f t="shared" si="0"/>
        <v>0.39165701042873696</v>
      </c>
      <c r="H14" s="95">
        <f t="shared" si="0"/>
        <v>0.30625</v>
      </c>
    </row>
    <row r="15" spans="1:8" ht="27" customHeight="1">
      <c r="A15" s="96" t="s">
        <v>331</v>
      </c>
      <c r="B15" s="104">
        <f>SUM(C15:H15)</f>
        <v>34091</v>
      </c>
      <c r="C15" s="105"/>
      <c r="D15" s="106">
        <v>5803</v>
      </c>
      <c r="E15" s="85">
        <v>4672</v>
      </c>
      <c r="F15" s="85">
        <f>415+21917</f>
        <v>22332</v>
      </c>
      <c r="G15" s="85">
        <v>1060</v>
      </c>
      <c r="H15" s="85">
        <v>224</v>
      </c>
    </row>
    <row r="16" spans="1:8" ht="27" customHeight="1">
      <c r="A16" s="92" t="s">
        <v>332</v>
      </c>
      <c r="B16" s="93">
        <f aca="true" t="shared" si="1" ref="B16:H16">B9-B15</f>
        <v>42835</v>
      </c>
      <c r="C16" s="93">
        <f t="shared" si="1"/>
        <v>15873</v>
      </c>
      <c r="D16" s="93">
        <f t="shared" si="1"/>
        <v>7762</v>
      </c>
      <c r="E16" s="93">
        <f t="shared" si="1"/>
        <v>4735</v>
      </c>
      <c r="F16" s="93">
        <f t="shared" si="1"/>
        <v>14877</v>
      </c>
      <c r="G16" s="93">
        <f t="shared" si="1"/>
        <v>-384</v>
      </c>
      <c r="H16" s="93">
        <f t="shared" si="1"/>
        <v>-28</v>
      </c>
    </row>
    <row r="17" spans="1:8" ht="27" customHeight="1">
      <c r="A17" s="92" t="s">
        <v>333</v>
      </c>
      <c r="B17" s="95">
        <f aca="true" t="shared" si="2" ref="B17:H17">B16/B15</f>
        <v>1.2564899826933795</v>
      </c>
      <c r="C17" s="95"/>
      <c r="D17" s="95">
        <f t="shared" si="2"/>
        <v>1.3375840082715837</v>
      </c>
      <c r="E17" s="95">
        <f t="shared" si="2"/>
        <v>1.013484589041096</v>
      </c>
      <c r="F17" s="95">
        <f t="shared" si="2"/>
        <v>0.6661740999462654</v>
      </c>
      <c r="G17" s="95">
        <f t="shared" si="2"/>
        <v>-0.3622641509433962</v>
      </c>
      <c r="H17" s="95">
        <f t="shared" si="2"/>
        <v>-0.125</v>
      </c>
    </row>
    <row r="18" spans="1:8" ht="36.75" customHeight="1">
      <c r="A18" s="134" t="s">
        <v>334</v>
      </c>
      <c r="B18" s="134"/>
      <c r="C18" s="134"/>
      <c r="D18" s="134"/>
      <c r="E18" s="134"/>
      <c r="F18" s="134"/>
      <c r="G18" s="134"/>
      <c r="H18" s="134"/>
    </row>
    <row r="19" ht="23.25" customHeight="1">
      <c r="H19" s="81" t="s">
        <v>321</v>
      </c>
    </row>
    <row r="20" spans="1:8" ht="44.25" customHeight="1">
      <c r="A20" s="82" t="s">
        <v>27</v>
      </c>
      <c r="B20" s="83" t="s">
        <v>97</v>
      </c>
      <c r="C20" s="83" t="s">
        <v>322</v>
      </c>
      <c r="D20" s="83" t="s">
        <v>28</v>
      </c>
      <c r="E20" s="83" t="s">
        <v>29</v>
      </c>
      <c r="F20" s="83" t="s">
        <v>323</v>
      </c>
      <c r="G20" s="83" t="s">
        <v>30</v>
      </c>
      <c r="H20" s="83" t="s">
        <v>31</v>
      </c>
    </row>
    <row r="21" spans="1:8" ht="27" customHeight="1">
      <c r="A21" s="84" t="s">
        <v>335</v>
      </c>
      <c r="B21" s="85">
        <f aca="true" t="shared" si="3" ref="B21:B26">SUM(C21:H21)</f>
        <v>134816</v>
      </c>
      <c r="C21" s="90">
        <v>43049</v>
      </c>
      <c r="D21" s="85">
        <v>15606</v>
      </c>
      <c r="E21" s="85">
        <v>13060</v>
      </c>
      <c r="F21" s="85">
        <v>62457</v>
      </c>
      <c r="G21" s="85">
        <v>229</v>
      </c>
      <c r="H21" s="85">
        <v>415</v>
      </c>
    </row>
    <row r="22" spans="1:8" ht="27" customHeight="1">
      <c r="A22" s="86" t="s">
        <v>336</v>
      </c>
      <c r="B22" s="85">
        <f t="shared" si="3"/>
        <v>131718</v>
      </c>
      <c r="C22" s="93">
        <v>43049</v>
      </c>
      <c r="D22" s="98">
        <v>15606</v>
      </c>
      <c r="E22" s="87">
        <v>13060</v>
      </c>
      <c r="F22" s="87">
        <v>59466</v>
      </c>
      <c r="G22" s="87">
        <v>122</v>
      </c>
      <c r="H22" s="87">
        <v>415</v>
      </c>
    </row>
    <row r="23" spans="1:8" ht="27" customHeight="1">
      <c r="A23" s="84" t="s">
        <v>337</v>
      </c>
      <c r="B23" s="85">
        <f t="shared" si="3"/>
        <v>0</v>
      </c>
      <c r="C23" s="93"/>
      <c r="D23" s="98"/>
      <c r="E23" s="87"/>
      <c r="F23" s="87"/>
      <c r="G23" s="87"/>
      <c r="H23" s="87"/>
    </row>
    <row r="24" spans="1:8" ht="27" customHeight="1">
      <c r="A24" s="84" t="s">
        <v>338</v>
      </c>
      <c r="B24" s="85">
        <f t="shared" si="3"/>
        <v>0</v>
      </c>
      <c r="C24" s="93"/>
      <c r="D24" s="98"/>
      <c r="E24" s="87"/>
      <c r="F24" s="87"/>
      <c r="G24" s="87"/>
      <c r="H24" s="87"/>
    </row>
    <row r="25" spans="1:8" ht="27" customHeight="1">
      <c r="A25" s="84" t="s">
        <v>329</v>
      </c>
      <c r="B25" s="85">
        <f t="shared" si="3"/>
        <v>49222</v>
      </c>
      <c r="C25" s="93">
        <v>15090</v>
      </c>
      <c r="D25" s="98">
        <v>7977</v>
      </c>
      <c r="E25" s="87">
        <v>7310</v>
      </c>
      <c r="F25" s="87">
        <f>2241+16200</f>
        <v>18441</v>
      </c>
      <c r="G25" s="87">
        <v>250</v>
      </c>
      <c r="H25" s="87">
        <v>154</v>
      </c>
    </row>
    <row r="26" spans="1:8" ht="27" customHeight="1">
      <c r="A26" s="86" t="s">
        <v>339</v>
      </c>
      <c r="B26" s="90">
        <f t="shared" si="3"/>
        <v>48330</v>
      </c>
      <c r="C26" s="93">
        <v>15090</v>
      </c>
      <c r="D26" s="99">
        <v>7381</v>
      </c>
      <c r="E26" s="91">
        <v>7287</v>
      </c>
      <c r="F26" s="91">
        <f>2118+16200</f>
        <v>18318</v>
      </c>
      <c r="G26" s="91">
        <v>100</v>
      </c>
      <c r="H26" s="91">
        <v>154</v>
      </c>
    </row>
    <row r="27" spans="1:8" ht="27" customHeight="1">
      <c r="A27" s="100" t="s">
        <v>330</v>
      </c>
      <c r="B27" s="95">
        <f aca="true" t="shared" si="4" ref="B27:H27">B25/B21</f>
        <v>0.36510503204367434</v>
      </c>
      <c r="C27" s="95">
        <f t="shared" si="4"/>
        <v>0.3505307904945527</v>
      </c>
      <c r="D27" s="102">
        <f t="shared" si="4"/>
        <v>0.5111495578623606</v>
      </c>
      <c r="E27" s="95">
        <f t="shared" si="4"/>
        <v>0.5597243491577335</v>
      </c>
      <c r="F27" s="95">
        <f t="shared" si="4"/>
        <v>0.29525913828714156</v>
      </c>
      <c r="G27" s="95">
        <f t="shared" si="4"/>
        <v>1.091703056768559</v>
      </c>
      <c r="H27" s="95">
        <f t="shared" si="4"/>
        <v>0.3710843373493976</v>
      </c>
    </row>
    <row r="28" spans="1:8" ht="27" customHeight="1">
      <c r="A28" s="100" t="s">
        <v>331</v>
      </c>
      <c r="B28" s="97">
        <f>SUM(C28:H28)</f>
        <v>33380</v>
      </c>
      <c r="C28" s="93"/>
      <c r="D28" s="107">
        <v>5057</v>
      </c>
      <c r="E28" s="93">
        <v>6960</v>
      </c>
      <c r="F28" s="93">
        <f>1503+19758</f>
        <v>21261</v>
      </c>
      <c r="G28" s="93">
        <v>35</v>
      </c>
      <c r="H28" s="93">
        <v>67</v>
      </c>
    </row>
    <row r="29" spans="1:8" ht="27" customHeight="1">
      <c r="A29" s="100" t="s">
        <v>332</v>
      </c>
      <c r="B29" s="97">
        <f>SUM(C29:H29)</f>
        <v>15842</v>
      </c>
      <c r="C29" s="93">
        <f aca="true" t="shared" si="5" ref="C29:H29">C25-C28</f>
        <v>15090</v>
      </c>
      <c r="D29" s="93">
        <f t="shared" si="5"/>
        <v>2920</v>
      </c>
      <c r="E29" s="93">
        <f t="shared" si="5"/>
        <v>350</v>
      </c>
      <c r="F29" s="93">
        <f t="shared" si="5"/>
        <v>-2820</v>
      </c>
      <c r="G29" s="93">
        <f t="shared" si="5"/>
        <v>215</v>
      </c>
      <c r="H29" s="93">
        <f t="shared" si="5"/>
        <v>87</v>
      </c>
    </row>
    <row r="30" spans="1:8" ht="27" customHeight="1">
      <c r="A30" s="103" t="s">
        <v>333</v>
      </c>
      <c r="B30" s="101">
        <f aca="true" t="shared" si="6" ref="B30:H30">B29/B28</f>
        <v>0.47459556620730975</v>
      </c>
      <c r="C30" s="93">
        <f>C26-C29</f>
        <v>0</v>
      </c>
      <c r="D30" s="102">
        <f t="shared" si="6"/>
        <v>0.5774174411706545</v>
      </c>
      <c r="E30" s="95">
        <f t="shared" si="6"/>
        <v>0.05028735632183908</v>
      </c>
      <c r="F30" s="95">
        <f t="shared" si="6"/>
        <v>-0.13263722308452094</v>
      </c>
      <c r="G30" s="95">
        <f t="shared" si="6"/>
        <v>6.142857142857143</v>
      </c>
      <c r="H30" s="95">
        <f t="shared" si="6"/>
        <v>1.2985074626865671</v>
      </c>
    </row>
  </sheetData>
  <sheetProtection/>
  <mergeCells count="2">
    <mergeCell ref="A1:H1"/>
    <mergeCell ref="A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2016-08-12T02:52:40Z</cp:lastPrinted>
  <dcterms:created xsi:type="dcterms:W3CDTF">2015-08-06T08:07:57Z</dcterms:created>
  <dcterms:modified xsi:type="dcterms:W3CDTF">2016-08-24T07:49:25Z</dcterms:modified>
  <cp:category/>
  <cp:version/>
  <cp:contentType/>
  <cp:contentStatus/>
</cp:coreProperties>
</file>